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dogukan.aras\Desktop\"/>
    </mc:Choice>
  </mc:AlternateContent>
  <xr:revisionPtr revIDLastSave="0" documentId="13_ncr:1_{1FACC1ED-EC44-42FE-B3B7-808D81625263}" xr6:coauthVersionLast="47" xr6:coauthVersionMax="47" xr10:uidLastSave="{00000000-0000-0000-0000-000000000000}"/>
  <bookViews>
    <workbookView xWindow="-120" yWindow="-120" windowWidth="29040" windowHeight="15720" activeTab="4" xr2:uid="{00000000-000D-0000-FFFF-FFFF00000000}"/>
  </bookViews>
  <sheets>
    <sheet name="Ortaklık" sheetId="7" r:id="rId1"/>
    <sheet name="Diploma" sheetId="2" r:id="rId2"/>
    <sheet name="Bilanço" sheetId="6" r:id="rId3"/>
    <sheet name="Ciro" sheetId="4" r:id="rId4"/>
    <sheet name="İş Deneyim" sheetId="5" r:id="rId5"/>
    <sheet name="Yeterlikler" sheetId="8" r:id="rId6"/>
  </sheets>
  <definedNames>
    <definedName name="_xlnm._FilterDatabase" localSheetId="4" hidden="1">'İş Deneyim'!$A$1:$P$18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C36" i="5" l="1"/>
  <c r="C62" i="5"/>
  <c r="C63" i="5"/>
  <c r="C64" i="5"/>
  <c r="C65" i="5"/>
  <c r="C66" i="5"/>
  <c r="C67" i="5"/>
  <c r="C68" i="5"/>
  <c r="C69" i="5"/>
  <c r="C70" i="5"/>
  <c r="C71" i="5"/>
  <c r="C72" i="5"/>
  <c r="C73" i="5"/>
  <c r="C61" i="5"/>
  <c r="AG39" i="5" l="1"/>
  <c r="AG40" i="5"/>
  <c r="AG41" i="5"/>
  <c r="AG42" i="5"/>
  <c r="AG43" i="5"/>
  <c r="AG44" i="5"/>
  <c r="AG45" i="5"/>
  <c r="AG46" i="5"/>
  <c r="AG38" i="5"/>
  <c r="AF39" i="5"/>
  <c r="AF40" i="5"/>
  <c r="AF41" i="5"/>
  <c r="AF42" i="5"/>
  <c r="AF43" i="5"/>
  <c r="AF44" i="5"/>
  <c r="AF45" i="5"/>
  <c r="AF46" i="5"/>
  <c r="AF47" i="5"/>
  <c r="AF48" i="5"/>
  <c r="AF49" i="5"/>
  <c r="AF50" i="5"/>
  <c r="AF38" i="5"/>
  <c r="O46" i="4"/>
  <c r="O43" i="4"/>
  <c r="O42" i="4"/>
  <c r="O40" i="4"/>
  <c r="L40" i="4"/>
  <c r="L41" i="4"/>
  <c r="O41" i="4" s="1"/>
  <c r="L42" i="4"/>
  <c r="L43" i="4"/>
  <c r="L44" i="4"/>
  <c r="O44" i="4" s="1"/>
  <c r="L45" i="4"/>
  <c r="O45" i="4" s="1"/>
  <c r="L46" i="4"/>
  <c r="L47" i="4"/>
  <c r="O47" i="4" s="1"/>
  <c r="L39" i="4"/>
  <c r="O39" i="4" s="1"/>
  <c r="F40" i="4"/>
  <c r="I40" i="4" s="1"/>
  <c r="F41" i="4"/>
  <c r="I41" i="4" s="1"/>
  <c r="F42" i="4"/>
  <c r="I42" i="4" s="1"/>
  <c r="F43" i="4"/>
  <c r="I43" i="4" s="1"/>
  <c r="F44" i="4"/>
  <c r="I44" i="4" s="1"/>
  <c r="F45" i="4"/>
  <c r="I45" i="4" s="1"/>
  <c r="F46" i="4"/>
  <c r="I46" i="4" s="1"/>
  <c r="F47" i="4"/>
  <c r="I47" i="4" s="1"/>
  <c r="F39" i="4"/>
  <c r="I39" i="4" s="1"/>
  <c r="C49" i="4"/>
  <c r="C54" i="4"/>
  <c r="C74" i="4"/>
  <c r="C79" i="4"/>
  <c r="C84" i="4"/>
  <c r="B84" i="4"/>
  <c r="B79" i="4"/>
  <c r="B74" i="4"/>
  <c r="B69" i="4"/>
  <c r="C69" i="4" s="1"/>
  <c r="B64" i="4"/>
  <c r="C64" i="4" s="1"/>
  <c r="B59" i="4"/>
  <c r="C59" i="4" s="1"/>
  <c r="B54" i="4"/>
  <c r="B49" i="4"/>
  <c r="B44" i="4"/>
  <c r="C44" i="4" s="1"/>
  <c r="J27" i="4"/>
  <c r="B4" i="2" l="1"/>
  <c r="C11" i="2"/>
  <c r="C12" i="2"/>
  <c r="C13" i="2"/>
  <c r="C14" i="2"/>
  <c r="C15" i="2"/>
  <c r="C10" i="2"/>
  <c r="F3" i="8" l="1"/>
  <c r="F5" i="8" s="1"/>
  <c r="B20" i="8" l="1"/>
  <c r="C23" i="7" s="1"/>
  <c r="B14" i="8"/>
  <c r="C17" i="7" s="1"/>
  <c r="B11" i="8"/>
  <c r="C14" i="7" s="1"/>
  <c r="B19" i="8"/>
  <c r="C22" i="7" s="1"/>
  <c r="B13" i="8"/>
  <c r="C16" i="7" s="1"/>
  <c r="B18" i="8"/>
  <c r="C21" i="7" s="1"/>
  <c r="B12" i="8"/>
  <c r="C15" i="7" s="1"/>
  <c r="B17" i="8"/>
  <c r="C20" i="7" s="1"/>
  <c r="B10" i="8"/>
  <c r="C13" i="7" s="1"/>
  <c r="B16" i="8"/>
  <c r="C19" i="7" s="1"/>
  <c r="B9" i="8"/>
  <c r="C12" i="7" s="1"/>
  <c r="B15" i="8"/>
  <c r="C18" i="7" s="1"/>
  <c r="B8" i="8"/>
  <c r="C11" i="7" s="1"/>
  <c r="F4" i="8"/>
  <c r="P50" i="5"/>
  <c r="O8" i="5"/>
  <c r="M8" i="5"/>
  <c r="K8" i="5"/>
  <c r="I8" i="5"/>
  <c r="G8" i="5"/>
  <c r="R30" i="5"/>
  <c r="C9" i="7"/>
  <c r="E8" i="8" l="1"/>
  <c r="F8" i="8" s="1"/>
  <c r="D8" i="8"/>
  <c r="D12" i="8"/>
  <c r="C12" i="8"/>
  <c r="E12" i="8"/>
  <c r="F12" i="8" s="1"/>
  <c r="C21" i="8"/>
  <c r="C24" i="7" s="1"/>
  <c r="D20" i="8"/>
  <c r="C20" i="8"/>
  <c r="E15" i="8"/>
  <c r="F15" i="8" s="1"/>
  <c r="D15" i="8"/>
  <c r="C15" i="8"/>
  <c r="D18" i="8"/>
  <c r="C18" i="8"/>
  <c r="E9" i="8"/>
  <c r="F9" i="8" s="1"/>
  <c r="D9" i="8"/>
  <c r="C9" i="8"/>
  <c r="D13" i="8"/>
  <c r="C13" i="8"/>
  <c r="E13" i="8"/>
  <c r="F13" i="8" s="1"/>
  <c r="C16" i="8"/>
  <c r="E16" i="8"/>
  <c r="F16" i="8" s="1"/>
  <c r="D16" i="8"/>
  <c r="D19" i="8"/>
  <c r="C19" i="8"/>
  <c r="C10" i="8"/>
  <c r="E10" i="8"/>
  <c r="F10" i="8" s="1"/>
  <c r="D10" i="8"/>
  <c r="D11" i="8"/>
  <c r="C11" i="8"/>
  <c r="E11" i="8"/>
  <c r="F11" i="8" s="1"/>
  <c r="D17" i="8"/>
  <c r="C17" i="8"/>
  <c r="E14" i="8"/>
  <c r="F14" i="8" s="1"/>
  <c r="D14" i="8"/>
  <c r="C14" i="8"/>
  <c r="H33" i="6"/>
  <c r="H32" i="6"/>
  <c r="H31" i="6"/>
  <c r="B33" i="6"/>
  <c r="B32" i="6"/>
  <c r="B31" i="6"/>
  <c r="V36" i="5"/>
  <c r="V35" i="5"/>
  <c r="B9" i="7" l="1" a="1"/>
  <c r="B9" i="7" s="1"/>
  <c r="B8" i="7"/>
  <c r="I33" i="6"/>
  <c r="I32" i="6"/>
  <c r="I31" i="6"/>
  <c r="C31" i="6"/>
  <c r="C33" i="6"/>
  <c r="C32" i="6"/>
  <c r="R29" i="5"/>
  <c r="S29" i="5" s="1"/>
  <c r="T29" i="5" s="1"/>
  <c r="R27" i="5"/>
  <c r="S27" i="5" s="1"/>
  <c r="E8" i="5"/>
  <c r="I34" i="6" l="1"/>
  <c r="K12" i="4"/>
  <c r="X28" i="5"/>
  <c r="X29" i="5"/>
  <c r="X27" i="5"/>
  <c r="W36" i="5"/>
  <c r="W33" i="5"/>
  <c r="W31" i="5"/>
  <c r="W34" i="5"/>
  <c r="W35" i="5"/>
  <c r="W32" i="5"/>
  <c r="C34" i="6"/>
  <c r="C12" i="4"/>
  <c r="U27" i="5"/>
  <c r="T27" i="5"/>
  <c r="U29" i="5"/>
  <c r="W29" i="5" s="1"/>
  <c r="J29" i="4" l="1"/>
  <c r="K35" i="4"/>
  <c r="L35" i="4"/>
  <c r="J35" i="4"/>
  <c r="C35" i="4"/>
  <c r="B35" i="4"/>
  <c r="D35" i="4"/>
  <c r="R32" i="5"/>
  <c r="W27" i="5"/>
  <c r="R28" i="5"/>
  <c r="S28" i="5" s="1"/>
  <c r="T28" i="5" l="1"/>
  <c r="U28" i="5"/>
  <c r="AD38" i="5"/>
  <c r="AH38" i="5"/>
  <c r="AD39" i="5"/>
  <c r="AH39" i="5"/>
  <c r="V31" i="5"/>
  <c r="AD40" i="5"/>
  <c r="AH40" i="5"/>
  <c r="J33" i="4"/>
  <c r="B33" i="4"/>
  <c r="H14" i="6"/>
  <c r="I14" i="6" s="1"/>
  <c r="H13" i="6"/>
  <c r="I13" i="6" s="1"/>
  <c r="H12" i="6"/>
  <c r="I12" i="6" s="1"/>
  <c r="B14" i="6"/>
  <c r="C14" i="6" s="1"/>
  <c r="B13" i="6"/>
  <c r="C13" i="6" s="1"/>
  <c r="B12" i="6"/>
  <c r="C12" i="6" s="1"/>
  <c r="W28" i="5" l="1"/>
  <c r="C15" i="6"/>
  <c r="I15" i="6"/>
  <c r="O29" i="4" l="1"/>
  <c r="N29" i="4"/>
  <c r="M29" i="4"/>
  <c r="L29" i="4"/>
  <c r="K29" i="4"/>
  <c r="F29" i="4"/>
  <c r="G29" i="4"/>
  <c r="E29" i="4"/>
  <c r="D29" i="4"/>
  <c r="C29" i="4"/>
  <c r="B29" i="4"/>
  <c r="AH45" i="5"/>
  <c r="AH46" i="5"/>
  <c r="J37" i="4" l="1"/>
  <c r="J36" i="4"/>
  <c r="J30" i="4"/>
  <c r="AH41" i="5"/>
  <c r="AH42" i="5"/>
  <c r="AH43" i="5"/>
  <c r="AH44" i="5"/>
  <c r="J47" i="4" l="1"/>
  <c r="J45" i="4"/>
  <c r="J41" i="4"/>
  <c r="J46" i="4"/>
  <c r="J40" i="4"/>
  <c r="J44" i="4"/>
  <c r="J43" i="4"/>
  <c r="J42" i="4"/>
  <c r="M40" i="4"/>
  <c r="M41" i="4"/>
  <c r="M42" i="4"/>
  <c r="M43" i="4"/>
  <c r="M44" i="4"/>
  <c r="M45" i="4"/>
  <c r="M46" i="4"/>
  <c r="M47" i="4"/>
  <c r="M39" i="4"/>
  <c r="J31" i="4"/>
  <c r="J39" i="4"/>
  <c r="AD41" i="5"/>
  <c r="AD42" i="5"/>
  <c r="AD43" i="5"/>
  <c r="AD44" i="5"/>
  <c r="AD45" i="5"/>
  <c r="AD46" i="5"/>
  <c r="AD47" i="5"/>
  <c r="AD48" i="5"/>
  <c r="AD49" i="5"/>
  <c r="AD50" i="5"/>
  <c r="M36" i="4" l="1"/>
  <c r="M30" i="4"/>
  <c r="R35" i="5"/>
  <c r="V33" i="5" l="1"/>
  <c r="V34" i="5" l="1"/>
  <c r="V32" i="5"/>
  <c r="P49" i="5" l="1"/>
  <c r="P46" i="5"/>
  <c r="P39" i="5"/>
  <c r="P40" i="5"/>
  <c r="P41" i="5"/>
  <c r="P42" i="5"/>
  <c r="P43" i="5"/>
  <c r="P44" i="5"/>
  <c r="P45" i="5"/>
  <c r="P47" i="5"/>
  <c r="P48" i="5"/>
  <c r="P38" i="5"/>
  <c r="P11" i="5" l="1"/>
  <c r="X32" i="5" l="1"/>
  <c r="Y32" i="5" s="1"/>
  <c r="X33" i="5"/>
  <c r="Y33" i="5" s="1"/>
  <c r="X35" i="5"/>
  <c r="Y35" i="5" s="1"/>
  <c r="X36" i="5"/>
  <c r="Y36" i="5" s="1"/>
  <c r="X34" i="5"/>
  <c r="Y34" i="5" s="1"/>
  <c r="X31" i="5"/>
  <c r="B37" i="4"/>
  <c r="B36" i="4"/>
  <c r="Y28" i="5"/>
  <c r="D17" i="5" s="1"/>
  <c r="B30" i="4"/>
  <c r="Z34" i="5" l="1"/>
  <c r="AA34" i="5"/>
  <c r="AA36" i="5"/>
  <c r="Z36" i="5"/>
  <c r="AA35" i="5"/>
  <c r="Z35" i="5"/>
  <c r="Z33" i="5"/>
  <c r="AA33" i="5"/>
  <c r="Z32" i="5"/>
  <c r="AA32" i="5"/>
  <c r="G40" i="4"/>
  <c r="G46" i="4"/>
  <c r="G41" i="4"/>
  <c r="G47" i="4"/>
  <c r="G42" i="4"/>
  <c r="G39" i="4"/>
  <c r="G45" i="4"/>
  <c r="G43" i="4"/>
  <c r="G44" i="4"/>
  <c r="E36" i="4" l="1"/>
  <c r="E9" i="5"/>
  <c r="Y27" i="5" l="1"/>
  <c r="E7" i="5" l="1"/>
  <c r="AB35" i="5"/>
  <c r="AB36" i="5"/>
  <c r="N21" i="5"/>
  <c r="C29" i="5"/>
  <c r="M33" i="5"/>
  <c r="C27" i="5"/>
  <c r="B27" i="4"/>
  <c r="B2" i="2"/>
  <c r="B6" i="2" s="1"/>
  <c r="E28" i="5" l="1"/>
  <c r="G28" i="5"/>
  <c r="M28" i="5"/>
  <c r="I28" i="5"/>
  <c r="K28" i="5"/>
  <c r="O28" i="5"/>
  <c r="C28" i="5"/>
  <c r="B5" i="2"/>
  <c r="B7" i="2"/>
  <c r="D43" i="4" l="1"/>
  <c r="D44" i="4"/>
  <c r="D39" i="4"/>
  <c r="D45" i="4"/>
  <c r="D40" i="4"/>
  <c r="D46" i="4"/>
  <c r="D41" i="4"/>
  <c r="D47" i="4"/>
  <c r="D42" i="4"/>
  <c r="B31" i="4"/>
  <c r="A15" i="2"/>
  <c r="A13" i="2"/>
  <c r="A14" i="2"/>
  <c r="A12" i="2"/>
  <c r="A11" i="2"/>
  <c r="A10" i="2"/>
  <c r="E30" i="4" l="1"/>
  <c r="G14" i="4" s="1"/>
  <c r="B8" i="2"/>
  <c r="B9" i="2" s="1"/>
  <c r="D33" i="5" l="1"/>
  <c r="E14" i="4"/>
  <c r="M14" i="4"/>
  <c r="O14" i="4"/>
  <c r="R33" i="5" s="1"/>
  <c r="D61" i="5" l="1" a="1"/>
  <c r="D61" i="5" s="1"/>
  <c r="D31" i="5" s="1"/>
  <c r="D32" i="5" s="1"/>
  <c r="D34" i="5" s="1"/>
  <c r="A63" i="5" s="1"/>
  <c r="Y31" i="5"/>
  <c r="A69" i="5" l="1"/>
  <c r="A62" i="5"/>
  <c r="A68" i="5"/>
  <c r="A72" i="5"/>
  <c r="A61" i="5"/>
  <c r="A70" i="5"/>
  <c r="A71" i="5"/>
  <c r="A73" i="5"/>
  <c r="A65" i="5"/>
  <c r="A66" i="5"/>
  <c r="A64" i="5"/>
  <c r="A67" i="5"/>
  <c r="M32" i="5"/>
  <c r="AB33" i="5"/>
  <c r="AB34" i="5"/>
  <c r="AB32" i="5"/>
  <c r="AA31" i="5"/>
  <c r="Z31" i="5"/>
  <c r="AB31" i="5" s="1"/>
  <c r="C12" i="5" l="1"/>
  <c r="M34" i="5"/>
  <c r="R34" i="5" s="1"/>
  <c r="Y29" i="5"/>
  <c r="AA29" i="5" l="1"/>
  <c r="M22" i="5"/>
  <c r="Z29" i="5"/>
  <c r="M23" i="5" s="1"/>
  <c r="D24" i="5" s="1"/>
  <c r="N35" i="5"/>
</calcChain>
</file>

<file path=xl/sharedStrings.xml><?xml version="1.0" encoding="utf-8"?>
<sst xmlns="http://schemas.openxmlformats.org/spreadsheetml/2006/main" count="847" uniqueCount="316">
  <si>
    <t>MEZUNİYET TARİHİ</t>
  </si>
  <si>
    <t>E</t>
  </si>
  <si>
    <t>BAŞVURU TARİHİ</t>
  </si>
  <si>
    <t>E1</t>
  </si>
  <si>
    <t>BAŞVURU GRUBU</t>
  </si>
  <si>
    <t>F1</t>
  </si>
  <si>
    <t>F</t>
  </si>
  <si>
    <t>GEREKEN YIL</t>
  </si>
  <si>
    <t>DİPLOMA YILI</t>
  </si>
  <si>
    <t>G</t>
  </si>
  <si>
    <t>G1</t>
  </si>
  <si>
    <t>YETERLİLİK DURUMU</t>
  </si>
  <si>
    <t>HANGİ GRUP İÇİN YETERLİ</t>
  </si>
  <si>
    <t>İŞ DENEYİM İLE SUNULMASI</t>
  </si>
  <si>
    <t>Yıl / Yıllar</t>
  </si>
  <si>
    <t>Dönen Varlıklar</t>
  </si>
  <si>
    <t>Kısa Vadeli Borçlar</t>
  </si>
  <si>
    <t>Öz Kaynaklar</t>
  </si>
  <si>
    <t>Toplam Aktif</t>
  </si>
  <si>
    <t>Yıllara Yaygın İnşaat Maliyetleri (Varsa)</t>
  </si>
  <si>
    <t>Kısa Vadeli Banka Borçları</t>
  </si>
  <si>
    <t>Yıllara Yaygın İnşaat Hakediş Gelirleri (Varsa)</t>
  </si>
  <si>
    <t>Bilanço Oranları</t>
  </si>
  <si>
    <r>
      <t xml:space="preserve">Cari Oran </t>
    </r>
    <r>
      <rPr>
        <sz val="11"/>
        <color rgb="FF000000"/>
        <rFont val="Times New Roman"/>
        <family val="1"/>
        <charset val="162"/>
      </rPr>
      <t>(Dönen Varlıkların Kısa Vadeli Borçlara Oranı)</t>
    </r>
  </si>
  <si>
    <r>
      <t xml:space="preserve">Öz Kaynak Oranı </t>
    </r>
    <r>
      <rPr>
        <sz val="11"/>
        <color rgb="FF000000"/>
        <rFont val="Times New Roman"/>
        <family val="1"/>
        <charset val="162"/>
      </rPr>
      <t>(Öz Kaynakların Toplam Aktife Oranı)</t>
    </r>
  </si>
  <si>
    <t>Kısa Vadeli Banka Borçlarının Öz Kaynaklara Oranı</t>
  </si>
  <si>
    <t xml:space="preserve"> Bilanço Oranları Yeterli Mi?</t>
  </si>
  <si>
    <t>2- İŞ HACMİ BİLGİLERİ TABLOSU  (Aşağıdaki tablolardan ya toplam ciro yada yapım işleri cirosundan biri doldurulacaktır.)</t>
  </si>
  <si>
    <t>Yılı</t>
  </si>
  <si>
    <t>Toplam ciro</t>
  </si>
  <si>
    <t>Yapım işleri cirosu</t>
  </si>
  <si>
    <t>Ciro verileri yukarıdaki tabloya girildiğinde aşağıda güncel değeri vermektedir. Ancak güncel değerler değil Beyanname verileri Ek-2'ye girilecektir.</t>
  </si>
  <si>
    <t>Başvuru tarihinden önceki aya ait Yİ-ÜFE endeksi</t>
  </si>
  <si>
    <t>D1</t>
  </si>
  <si>
    <t>GEREKEN TOP. CİRO</t>
  </si>
  <si>
    <t>Güncel toplam ciro</t>
  </si>
  <si>
    <t>Ortalama Güncel ciro</t>
  </si>
  <si>
    <t>Top. Cironuz Yeterli mi?</t>
  </si>
  <si>
    <t>GEREKEN YAPIM İŞİ CİRO</t>
  </si>
  <si>
    <t>Güncel yapım işleri ciro</t>
  </si>
  <si>
    <t>Yapım İşleri Cironuz Yeterli mi?</t>
  </si>
  <si>
    <t>ASGARİ İŞ HACMİ (CİRO) MİKTARI</t>
  </si>
  <si>
    <t>A</t>
  </si>
  <si>
    <t>B</t>
  </si>
  <si>
    <t>B1</t>
  </si>
  <si>
    <t>TOPLAM CİRO</t>
  </si>
  <si>
    <t>VEYA YAPIM CİRO</t>
  </si>
  <si>
    <t>C</t>
  </si>
  <si>
    <t>C1</t>
  </si>
  <si>
    <t>D</t>
  </si>
  <si>
    <t>YILLARA, YAPI GRUP VE SINIFINA GÖRE YAPI BİRİM MALİYETLERİ TABLOSU (TL/m²)</t>
  </si>
  <si>
    <t>YIL</t>
  </si>
  <si>
    <t>YÜRÜRLÜK
TARİHİ</t>
  </si>
  <si>
    <t>YAPI SINIFI</t>
  </si>
  <si>
    <t>II-A</t>
  </si>
  <si>
    <t>II-B</t>
  </si>
  <si>
    <t>II-C</t>
  </si>
  <si>
    <t>III-A</t>
  </si>
  <si>
    <t>III-B</t>
  </si>
  <si>
    <t>IV-A</t>
  </si>
  <si>
    <t>IV-B</t>
  </si>
  <si>
    <t>IV-C</t>
  </si>
  <si>
    <t>V-A</t>
  </si>
  <si>
    <t>V-B</t>
  </si>
  <si>
    <t>V-C</t>
  </si>
  <si>
    <t>V-D</t>
  </si>
  <si>
    <t>YIL/Y. SINIFI</t>
  </si>
  <si>
    <t>2A</t>
  </si>
  <si>
    <t>2B</t>
  </si>
  <si>
    <t>2C</t>
  </si>
  <si>
    <t>3A</t>
  </si>
  <si>
    <t>3B</t>
  </si>
  <si>
    <t>4A</t>
  </si>
  <si>
    <t>4B</t>
  </si>
  <si>
    <t>4C</t>
  </si>
  <si>
    <t>5A</t>
  </si>
  <si>
    <t>5B</t>
  </si>
  <si>
    <t>5C</t>
  </si>
  <si>
    <t>5D</t>
  </si>
  <si>
    <t>2022/1</t>
  </si>
  <si>
    <t>2022/2</t>
  </si>
  <si>
    <t>2022/3</t>
  </si>
  <si>
    <t>2023/1</t>
  </si>
  <si>
    <t>2023/2</t>
  </si>
  <si>
    <t>YAPI SINIFI VE GRUBU (ÖR.4A)</t>
  </si>
  <si>
    <t>İŞİN GERÇEKLEŞTİRİLME ORANI</t>
  </si>
  <si>
    <t>YAPI ALANI (m²)</t>
  </si>
  <si>
    <t>İŞ DENEYİM TUTARI (₺)</t>
  </si>
  <si>
    <t>(GÜNCELLENMEMİŞ TUTAR)</t>
  </si>
  <si>
    <t>GÜNCELLEME HESABI</t>
  </si>
  <si>
    <t>BELGE TUTARI (₺)</t>
  </si>
  <si>
    <t>YAPI KULLANMA TARİHİ
(GEÇİCİ KABUL TARİHİ)</t>
  </si>
  <si>
    <t>İŞ DENEYİM KAÇ YILLIK</t>
  </si>
  <si>
    <t>YAPILAN İŞ TUTARI (₺)
 (GÜNCELLENMİŞ)</t>
  </si>
  <si>
    <t>SON 15 YILDA YAPILAN
 EN BÜYÜK İŞ</t>
  </si>
  <si>
    <t>SON 5 YILDA YAPILAN İŞLERİN TOP.</t>
  </si>
  <si>
    <t>TOP. İŞ DENEYİMİNİZ YETERLİ Mİ?</t>
  </si>
  <si>
    <t>DİKKATE ALINACAK TOP.
İŞ DENEYİM TUTARI (₺)</t>
  </si>
  <si>
    <t>TOP. İŞ DENEYİMİNİZ HANGİ GRUP İÇİN YETERLİ</t>
  </si>
  <si>
    <t>BAŞVURU İÇİN GEREKEN İŞ DENEYİM</t>
  </si>
  <si>
    <t>III-C</t>
  </si>
  <si>
    <t>3C</t>
  </si>
  <si>
    <t xml:space="preserve">SON 5 YIL İŞ TOPLAMADA MAKS.
DİKKATE ALINABİLECEK DEĞER </t>
  </si>
  <si>
    <t>PARSELDE BULUNAN FARKLI YAPI SINIFLARI</t>
  </si>
  <si>
    <t>YYM*0,9</t>
  </si>
  <si>
    <t>YYM*1,3</t>
  </si>
  <si>
    <t>KATSAYI</t>
  </si>
  <si>
    <t>RUHSAT
 YYM</t>
  </si>
  <si>
    <t>YYM 
ORAN</t>
  </si>
  <si>
    <t>YAPI
ALANI</t>
  </si>
  <si>
    <t>ALANI EN BÜYÜK KATSAYI</t>
  </si>
  <si>
    <t>1- KAT VEYA ARSA KARŞILIĞI İŞLER İLE KENDİ ARSASI ÜZERİNE YAPILAN İŞLER İÇİN İŞ DENEYİM HESAPLAMA</t>
  </si>
  <si>
    <t>1. Deniz iskeleleri</t>
  </si>
  <si>
    <t>2. Genel amaçlı depolar (betonarme, çelik ve benzeri)</t>
  </si>
  <si>
    <t>3. Hayvan bakımevi ve barınakları</t>
  </si>
  <si>
    <t>4. Hayvan satış pazar yerleri</t>
  </si>
  <si>
    <t>5. Tarımsal endüstri yapıları</t>
  </si>
  <si>
    <t>1. Botanik, jeopark ve tema park yapıları</t>
  </si>
  <si>
    <t>2. Geçici kullanımı olan yapılar, konteyner kentler ve benzeri</t>
  </si>
  <si>
    <t>3. Halı sahalar, semt sahaları ve benzeri</t>
  </si>
  <si>
    <t>4. Hangar yapıları (helikopterler, küçük uçaklar, park ve bakım onarım yerleri ve benzeri)</t>
  </si>
  <si>
    <t>5. Kapalı pazar yerleri, semt pazarları ve benzeri</t>
  </si>
  <si>
    <t>1. Bağ/dağ/köy ve yayla evleri (kırsalda yer alan brüt inşaat alanı 200 m²'nin altındaki yapılar)</t>
  </si>
  <si>
    <t>2. Bungalov evleri</t>
  </si>
  <si>
    <t>3. Hal binaları</t>
  </si>
  <si>
    <t>4. Mezbahalar</t>
  </si>
  <si>
    <t>5. Sanayi tesisleri (döşeme hareketli yükü 0-500 kg/m² olan yapılar)</t>
  </si>
  <si>
    <t>6. Taziye evleri</t>
  </si>
  <si>
    <t>1. Akaryakıt ve otogaz dolum istasyonları</t>
  </si>
  <si>
    <t>2. Aquaparklar</t>
  </si>
  <si>
    <t>3. Çocuk destek merkezleri, çocuk evleri koordinasyon merkezleri, çocuk evleri   </t>
  </si>
  <si>
    <t>4. Garajlar, katlı ve/veya kapalı otoparklar ve benzeri</t>
  </si>
  <si>
    <t>6. İtfaiye binaları</t>
  </si>
  <si>
    <t>7. Kayadan oyma konutlar</t>
  </si>
  <si>
    <t>8. Konutlar (apartman tipi, üç kata kadar-üç kat dâhil)</t>
  </si>
  <si>
    <t>9. Kreşler, okul öncesi eğitim merkezleri ve benzeri</t>
  </si>
  <si>
    <t>10. Köy ve mahalle konakları</t>
  </si>
  <si>
    <t>11. Muhtarlık binaları</t>
  </si>
  <si>
    <t>12. Özelliği olan depolar (kimyasal madde, radyoaktif atık, soğuk hava depoları ve benzeri)</t>
  </si>
  <si>
    <t>13. Semt postaneleri</t>
  </si>
  <si>
    <t>14. Sığınma ve barınma evleri</t>
  </si>
  <si>
    <t>15. Sosyal tesis yapıları (inşaat ortak alanında yapılan havuz, hamam, sauna ve benzeri)</t>
  </si>
  <si>
    <t>1. 112 acil sağlık hizmetleri istasyonları</t>
  </si>
  <si>
    <t>2. Aile sağlığı merkezleri</t>
  </si>
  <si>
    <t>3. Apart oteller</t>
  </si>
  <si>
    <t>4. Gece kulübü ve eğlence yerleri</t>
  </si>
  <si>
    <t>5. Hayvan hastaneleri</t>
  </si>
  <si>
    <t>6. İbadethaneler (kişi sayısı 500'ün altındaki yapılar)</t>
  </si>
  <si>
    <t>7. İlçe tipi otobüs terminalleri</t>
  </si>
  <si>
    <t>8. İlkokul ve ortaokul yapıları</t>
  </si>
  <si>
    <t>9. İş merkezleri (üç kata kadar-üç kat dâhil)</t>
  </si>
  <si>
    <t>10. Kapalı spor salonları (seyirci sayısı 1.000'in altındaki yapılar)</t>
  </si>
  <si>
    <t>11. Konukevleri, misafirhaneler ve benzeri</t>
  </si>
  <si>
    <t>13. Kütüphaneler (brüt inşaat alanı 1.000 m²'nin altındaki yapılar)</t>
  </si>
  <si>
    <t>14. Liman binaları ve marinalar</t>
  </si>
  <si>
    <t>16. Sanayi tesisleri (döşeme hareketli yükü 501-3.000 kg/m² olan yapılar)</t>
  </si>
  <si>
    <t>17. Sanayi tesisleri idari binaları</t>
  </si>
  <si>
    <t>1. Ağız ve diş sağlığı merkezleri</t>
  </si>
  <si>
    <t>2. Emniyet ve jandarma karakol binaları</t>
  </si>
  <si>
    <t>3. Halk eğitim merkezleri</t>
  </si>
  <si>
    <t>4. Huzurevi, rehabilitasyon ve yaşlı bakım merkezleri</t>
  </si>
  <si>
    <t>5. İl tipi otobüs terminalleri</t>
  </si>
  <si>
    <t>7. Kaplıcalar, şifa evleri, termal tesisler ve benzeri</t>
  </si>
  <si>
    <t>9. Lise ve dengi okul yapıları</t>
  </si>
  <si>
    <t>11. Öğrenci yurtları</t>
  </si>
  <si>
    <t>12. Toplum sağlığı merkezleri</t>
  </si>
  <si>
    <t>13. Tren gar/istasyon binaları (brüt inşaat alanı 1.500 m²'den az olan yapılar)</t>
  </si>
  <si>
    <t>1. Açık cezaevleri</t>
  </si>
  <si>
    <t>2. Aile yaşam ve gençlik merkezleri</t>
  </si>
  <si>
    <t>3. Alışveriş merkezleri (brüt inşaat alanı 25.000 m²'nin altındaki yapılar)</t>
  </si>
  <si>
    <t>4. Araştırma ve geliştirme merkezleri, laboratuvarlar ve benzeri</t>
  </si>
  <si>
    <t>5. Engelsiz yaşam merkezleri</t>
  </si>
  <si>
    <t>6. Enstitüler, fakülteler ve yüksekokullar</t>
  </si>
  <si>
    <t>7. Fuar merkezleri</t>
  </si>
  <si>
    <t>8. İlçe tipi kamu binaları</t>
  </si>
  <si>
    <t>11. Kayadan oyma oteller   </t>
  </si>
  <si>
    <t>13. Mesleki eğitim merkezleri</t>
  </si>
  <si>
    <t>14. Oteller (1 ve 2 yıldızlı)</t>
  </si>
  <si>
    <t>15. Özel eğitim okulları</t>
  </si>
  <si>
    <t>16. Rehberlik ve araştırma merkezleri</t>
  </si>
  <si>
    <t>17. Sanayi tesisleri (döşeme hareketli yükü 3.001 kg/m² ve üzeri olan yapılar)</t>
  </si>
  <si>
    <t>18. Tıp merkezleri</t>
  </si>
  <si>
    <t>19. Yüzme havuzu tesisleri</t>
  </si>
  <si>
    <t>1. Arşiv binaları</t>
  </si>
  <si>
    <t>2. Banka ve borsa binaları</t>
  </si>
  <si>
    <t>3. Büyük (merkez) postaneler</t>
  </si>
  <si>
    <t>4. Düğün salonları</t>
  </si>
  <si>
    <t>5. Fizik tedavi ve rehabilitasyon merkezleri</t>
  </si>
  <si>
    <t>8. Kapalı spor salonları (seyirci sayısı 5.000 ve üzeri yapılar)</t>
  </si>
  <si>
    <t>9. Konutlar (yapı yüksekliği 51,50 m üzeri yapılar)</t>
  </si>
  <si>
    <t>12. Özelliği olan genel sığınaklar</t>
  </si>
  <si>
    <t>13. Radyo ve televizyon istasyon binaları</t>
  </si>
  <si>
    <t>14. Üniversite idari binaları</t>
  </si>
  <si>
    <t>1. Adalet sarayları</t>
  </si>
  <si>
    <t>2. Alışveriş merkezleri (brüt inşaat alanı 25.000 m² ve üzeri yapılar)</t>
  </si>
  <si>
    <t>3. Bakanlık binaları</t>
  </si>
  <si>
    <t>4. Büyükşehir belediye hizmet binaları</t>
  </si>
  <si>
    <t>5. Geri gönderme merkezleri</t>
  </si>
  <si>
    <t>6. Hastaneler (yatak sayısı 200'ün altındaki yapılar)</t>
  </si>
  <si>
    <t>7. İl tipi kamu binaları</t>
  </si>
  <si>
    <t>8. Kapalı cezaevleri</t>
  </si>
  <si>
    <t>9. Kaymakamlık ve vali konutları</t>
  </si>
  <si>
    <t>10. Kütüphaneler (brüt inşaat alanı 1.000 m² ve üzeri yapılar)</t>
  </si>
  <si>
    <t>11. Olimpik spor tesisleri</t>
  </si>
  <si>
    <t>12. Oteller (3 yıldızlı)</t>
  </si>
  <si>
    <t>13. Tatil köyleri</t>
  </si>
  <si>
    <t>14. Tren gar/istasyon binaları (brüt inşaat alanı 1.500 m²'den fazla olan yapılar)</t>
  </si>
  <si>
    <t>1. Büyükelçilik, diplomatik temsilcilik ve konsolosluk binaları</t>
  </si>
  <si>
    <t>2. Eğitim ve araştırma hastaneleri</t>
  </si>
  <si>
    <t>3. İş merkezleri (yapı yüksekliği 51,50 m üzeri yapılar)</t>
  </si>
  <si>
    <t>5. Stadyumlar ve hipodromlar</t>
  </si>
  <si>
    <t>6. Üniversite kampüsleri</t>
  </si>
  <si>
    <t>1. Deniz, hava ve kara kuvvetleri komutanlığı tesisleri</t>
  </si>
  <si>
    <t>3. İbadethaneler (kişi sayısı 1.500 ve üzeri yapılar)</t>
  </si>
  <si>
    <t>4. Jandarma ve sahil güvenlik komutanlığı tesisleri</t>
  </si>
  <si>
    <t>5. Oteller (4 yıldızlı)</t>
  </si>
  <si>
    <t>1. Bale, opera ve tiyatro yapıları</t>
  </si>
  <si>
    <t>2. Hastaneler (yatak sayısı 400 ve üzeri yapılar-yatak sayısı 400 dâhil)</t>
  </si>
  <si>
    <t>3. Kongre ve kültür merkezleri</t>
  </si>
  <si>
    <t>4. Müze yapıları</t>
  </si>
  <si>
    <t>1. Havalimanı terminal binaları (idari binalar, yolcu terminal binası ve benzeri)</t>
  </si>
  <si>
    <t>2. Metro istasyonları</t>
  </si>
  <si>
    <t>3. Oteller (5 yıldızlı)</t>
  </si>
  <si>
    <t>4. Şehir hastaneleri</t>
  </si>
  <si>
    <t>5. Yüksek güvenlikli cezaevleri</t>
  </si>
  <si>
    <t>5. Havalimanı destek binaları (garaj binası, itfaiye binası, nizamiye binası, ısı-güç merkez binası ve benzeri)</t>
  </si>
  <si>
    <t>12. Konutlar (yapı yüksekliği 21.50 m’nin altındaki yapılar-üç kat üzeri, yapı yüksekliği 21.50 m dâhil)</t>
  </si>
  <si>
    <t>15. Müstakil ve/veya ikiz konutlar (bağımsız bölüm brüt inşaat alanı 200 m²'nin altındaki yapılar)</t>
  </si>
  <si>
    <t>6. İş merkezleri (yapı yüksekliği 21.50 m’nin altındaki yapılar-üç kat üzeri, yapı yüksekliği 21.50 m dâhil)</t>
  </si>
  <si>
    <t>8. Konutlar (yapı yüksekliği 21.50 m’den fazla ve 30.50 m’den az olan yapılar-yapı yüksekliği 30.50 m dâhil)</t>
  </si>
  <si>
    <t>10. Müstakil ve/veya ikiz konutlar (bağımsız bölüm brüt inşaat alanı 200 m²'den fazla ve 500 m²'den az olan yapılar-brüt inşaat alanı 200 m² dâhil)</t>
  </si>
  <si>
    <t>9. İş merkezleri (yapı yüksekliği 21.50 m’den fazla ve 30.50 m’den az olan yapılar-yapı yüksekliği 30.50 m dâhil)</t>
  </si>
  <si>
    <t>10. Kapalı spor salonları (seyirci sayısı 1.000'den fazla ve 5.000'den az olan yapılar-seyirci sayısı 1.000 dâhil)</t>
  </si>
  <si>
    <t>12. Konutlar (yapı yüksekliği 30.50 m’den fazla ve 51.50 m’den az olan yapılar-yapı yüksekliği 51.50 m dâhil)</t>
  </si>
  <si>
    <t>6. İbadethaneler (kişi sayısı 500'den fazla ve 1.500'den az olan yapılar - kişi sayısı 500 dâhil)</t>
  </si>
  <si>
    <t>7. İş merkezleri (yapı yüksekliği 30.50 m’den fazla ve 51.50 m’den az olan yapılar - yapı yüksekliği 51.50 m dâhil)</t>
  </si>
  <si>
    <t>10. Müstakil ve/veya ikiz konutlar (bağımsız bölüm brüt inşaat alanı 500 m² ve üzeri yapılar)</t>
  </si>
  <si>
    <t>11. Özelliği olan büyük okul yapıları (spor salonu, konferans salonu ve ek tesisleri olan eğitim yapıları)</t>
  </si>
  <si>
    <t>4. Karma kullanımlı yapılar (avm, ofis ve/veya konutların birlikte bulunduğu yapılar)</t>
  </si>
  <si>
    <t>2. Hastaneler (yatak sayısı 200'den fazla ve 400'den az olan yapılar-yatak sayısı 200 dâhil)</t>
  </si>
  <si>
    <t>5. Tarihi eser niteliğinde olup restore edilerek veya yıkılarak aslına uygun olarak yapılan yapılar</t>
  </si>
  <si>
    <t>GÜNCEL İŞ DENEYİM TUTARI</t>
  </si>
  <si>
    <t>GÜNCEL
YYM</t>
  </si>
  <si>
    <t>YAYIM
TARİHİ</t>
  </si>
  <si>
    <t>SÖZLEŞME TARİHİ</t>
  </si>
  <si>
    <t>H</t>
  </si>
  <si>
    <t>02.12.2019 TARİHİNDEN ÖNCEKİ İŞLER</t>
  </si>
  <si>
    <t>02.12.2019 TARİHİNDEN SONRAKİ İŞLER</t>
  </si>
  <si>
    <t>RUHSAT TARİHİ</t>
  </si>
  <si>
    <t>İHALE/SÖZLEŞME TARİHİ</t>
  </si>
  <si>
    <t>GERÇEKLEŞTİRİLEN TOPLAM İŞ TUTARI (₺)</t>
  </si>
  <si>
    <t>TOPLAM BELGE TUTARI (₺)</t>
  </si>
  <si>
    <t>RUHSAT TARİHİNDEKİ GRUBUNUZ</t>
  </si>
  <si>
    <t>RUHSAT TARİHİNDEKİ GRUBUN AZAMİ İŞ MİKTARI</t>
  </si>
  <si>
    <t>REFERANS MEKTUBU</t>
  </si>
  <si>
    <t>YAPIM CİRO</t>
  </si>
  <si>
    <t>2025 YILI VERİLERİNE SUNMAK İSTEYENLER</t>
  </si>
  <si>
    <t>2024 YILI VERİLERİNE SUNMAK İSTEYENLER (MAYIS AYINA KADAR OLAN BAŞVURULAR)</t>
  </si>
  <si>
    <t>En Büyük Yapım Cirosu</t>
  </si>
  <si>
    <t>HANGİ CİROYU SUNMALIYIM</t>
  </si>
  <si>
    <t>YAPIM CİROSU</t>
  </si>
  <si>
    <t>ORTAKLIK PAYINIZ/BİRLEŞME İSE %100 YAZIN</t>
  </si>
  <si>
    <t>HANGİ GRUBA YETERLİ</t>
  </si>
  <si>
    <t>I-A</t>
  </si>
  <si>
    <t>I-B</t>
  </si>
  <si>
    <t>I-C</t>
  </si>
  <si>
    <t>1A</t>
  </si>
  <si>
    <t>1B</t>
  </si>
  <si>
    <t>1C</t>
  </si>
  <si>
    <t>1-KAT</t>
  </si>
  <si>
    <t>2-KAMU</t>
  </si>
  <si>
    <t>3-SANAYİ</t>
  </si>
  <si>
    <t>ORTAK GİRİŞİM VEYA ŞİRKET BİRLEŞME SONRASI ELDE EDİLEN CİRONUN TOPLANMASI İÇİN AŞAĞIDAKİ BİLGİLER DOLDURULARAK HESAPLAMA YAPILABİLİR.</t>
  </si>
  <si>
    <t>ORTAK GİRİŞİM VEYA ŞİRKET BİRLEŞME SONRASI ELDE EDİLEN BİLANÇO TOPLANMASI İÇİN AŞAĞIDAKİ BİLGİLER DOLDURULARAK HESAPLAMA YAPILABİLİR.</t>
  </si>
  <si>
    <t>TOP. CİRO</t>
  </si>
  <si>
    <t>BANKALARDAN ALINAN TOP. REFERANS MEKTUBU</t>
  </si>
  <si>
    <t>CİRONUZ EN FAZLA HANGİ GRUP İÇİN YETERLİ OLABİLİR</t>
  </si>
  <si>
    <t>REFERANS</t>
  </si>
  <si>
    <t>İŞ DENEYİM</t>
  </si>
  <si>
    <t>CİRO</t>
  </si>
  <si>
    <t>BİLANÇO</t>
  </si>
  <si>
    <t>ENDEKS OR.</t>
  </si>
  <si>
    <t>GÜNCEL
ENDEKS</t>
  </si>
  <si>
    <t>ŞİRKETLERDE DİPLOMA KULLANILABİLMESİ İÇİN;
DİPLOMA SAHİBİNİN ŞİRKETTE EN AZ %51 PAYA KESİNTİSİZ 5 YILDIR SAHİP OLMASI GEREKMEKTEDİR.</t>
  </si>
  <si>
    <t>DİPLOMA GRUP BAŞVURUSU
 İÇİN HESAPLANACAK İŞ MİKTARI</t>
  </si>
  <si>
    <t>BİRLEŞME İSE %100 YAZIN</t>
  </si>
  <si>
    <t>ORTAKLIK PAYINIZ</t>
  </si>
  <si>
    <t>TÜM YETERLİKLERE GÖRE HANGİ GRUBA BAŞVURULABİLİRİM?</t>
  </si>
  <si>
    <t>TALEP EDİLEN GRUP</t>
  </si>
  <si>
    <t>PİLOT ORTAK</t>
  </si>
  <si>
    <t>DİĞER ORTAK</t>
  </si>
  <si>
    <t>ORTAKLIK PAYI</t>
  </si>
  <si>
    <t>HANGİ GRUBA BAŞVURULABİLİR?</t>
  </si>
  <si>
    <t>TALEP EDİLEN GRUP İÇİN YETERLİ Mİ?</t>
  </si>
  <si>
    <t>TOPLAM PAY</t>
  </si>
  <si>
    <t>Kat/Arsa karşılığı işlerde sözleşme tarihi, kendi arsası üzerine yapılan işlerde yapı ruhsatı tarihi girilmelidir.</t>
  </si>
  <si>
    <t>Kamu işlerinde ihale tarihi, sözleşme bedeli ile yapılan özel işlerde sözleşme tarihi girilmelidir.</t>
  </si>
  <si>
    <t>Gerçekleştirilen iş tutarı (iş artışlarıyla birlikte gerçekleştirilen) girilmelidir.</t>
  </si>
  <si>
    <t xml:space="preserve">İşin ne kadarlık kısmı gerçekleştirildiyse oranı girilmelidir. </t>
  </si>
  <si>
    <t>DİPLOMA İLE YAPILAN BAŞVURULARDA; 
4734 SAYILI KANUNUN 62.MD H BENDİ GEREĞİNCE,
DİPLOMANIN 15 YILDAN FAZLASININ DEĞERLENDİRMEYE ALINABİLMESİ İÇİN DİPLOMA SAHİBİNE AİT YAPIM (ÜSTYAPI,ALTYAPI VB.) İŞ DENEYİM BELGESİ (İŞ BİTİRME,DENETLEME,YÖNETME) SUNULMALIDIR. YAPI SAHİBİ İLE MÜTEAHHİDİ AYNI KİŞİ İSE YAPI RUHSATI VE YAPI KULLANMA YETERLİDİR.</t>
  </si>
  <si>
    <t>İŞ DENEYİM TUTARINA  ve DİĞER YETERLİKLERE GÖRE BAŞVURULABİLECEK GRUP HESABI</t>
  </si>
  <si>
    <t>GÜNCEL YAPI SINIFI 
(En Büyük/İşe Esas Yapı Alanına Ait)</t>
  </si>
  <si>
    <t>Başvuru tarihi excel tablosunu açtığınız tarih otomatik gelmektedir. İstenirse başvurulacak tarih de girilebilir.</t>
  </si>
  <si>
    <t>2- KAMU İŞLERİ VEYA SÖZLEŞME BEDELİ ÜZERİNDEN DÜZENLENEN İŞ DENEYİM BELGESİ İÇİN GÜNCELLEME HESABI</t>
  </si>
  <si>
    <t>III. ve IV. sınıf Yapı Yaklaşık Birim Maliyet Ortalaması</t>
  </si>
  <si>
    <t>Mimar/ İnş. Müh. Diploma Yıllık İş Deneyim Miktarı</t>
  </si>
  <si>
    <t>Yapı Sınır Bedeli</t>
  </si>
  <si>
    <t>AZAMİ YAPIM İŞİ</t>
  </si>
  <si>
    <t>REFERANS
MEKTUBU</t>
  </si>
  <si>
    <t>GRUP</t>
  </si>
  <si>
    <t>SINIRSIZ</t>
  </si>
  <si>
    <t>-</t>
  </si>
  <si>
    <t>ASGARİ İŞ DENEYİM
(GRUP İÇİN GEREKLİ)</t>
  </si>
  <si>
    <t>SÖZLEŞME TARİHİ/YAPI RUHSATI</t>
  </si>
  <si>
    <t>2024 yılı ve öncesi II-C(2), III-A(11), III-B(1) ve IV-A(10) ile tek katlı I-B(4) ve III-A(6) ; 
2025 yılı sonrası  IIA(5), II-C(5), III-B(16) ve B(17), IV-A(17) ile tek katlı II-A(2) ve III-A(12) yapılar.</t>
  </si>
  <si>
    <t>3- SANAYİ VB. YAPILARA SÖZLEŞME BEDELİ ÜZERİNDEN DÜZENLENEN İŞ DENEYİM BELGESİ İÇİN GÜNCELLEME HESABI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</si>
</sst>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dd/mm/yyyy;@"/>
    <numFmt numFmtId="165" formatCode="0.0"/>
    <numFmt numFmtId="166" formatCode="#,##0&quot;₺&quot;"/>
    <numFmt numFmtId="167" formatCode="#,##0.00\ &quot;₺&quot;"/>
    <numFmt numFmtId="168" formatCode="0.0000"/>
    <numFmt numFmtId="169" formatCode="#,##0\ &quot;₺&quot;"/>
    <numFmt numFmtId="170" formatCode="#,##0.0"/>
    <numFmt numFmtId="171" formatCode="#,##0.00&quot;₺&quot;"/>
  </numFmts>
  <fonts count="30" x14ac:knownFonts="1">
    <font>
      <sz val="11"/>
      <color theme="1"/>
      <name val="Calibri"/>
      <family val="2"/>
      <charset val="162"/>
      <scheme val="minor"/>
    </font>
    <font>
      <b/>
      <sz val="11"/>
      <color theme="1"/>
      <name val="Calibri"/>
      <family val="2"/>
      <charset val="162"/>
      <scheme val="minor"/>
    </font>
    <font>
      <sz val="11"/>
      <color theme="1"/>
      <name val="Times New Roman"/>
      <family val="1"/>
      <charset val="162"/>
    </font>
    <font>
      <b/>
      <sz val="11"/>
      <color rgb="FF000000"/>
      <name val="Times New Roman"/>
      <family val="1"/>
      <charset val="162"/>
    </font>
    <font>
      <sz val="11"/>
      <color rgb="FF000000"/>
      <name val="Times New Roman"/>
      <family val="1"/>
      <charset val="162"/>
    </font>
    <font>
      <b/>
      <sz val="8"/>
      <color rgb="FF000000"/>
      <name val="Times New Roman"/>
      <family val="1"/>
      <charset val="162"/>
    </font>
    <font>
      <b/>
      <sz val="12"/>
      <color rgb="FF000000"/>
      <name val="Times New Roman"/>
      <family val="1"/>
      <charset val="162"/>
    </font>
    <font>
      <b/>
      <sz val="14"/>
      <color theme="1"/>
      <name val="Times New Roman"/>
      <family val="1"/>
      <charset val="162"/>
    </font>
    <font>
      <b/>
      <sz val="11"/>
      <color theme="1"/>
      <name val="Times New Roman"/>
      <family val="1"/>
      <charset val="162"/>
    </font>
    <font>
      <b/>
      <u/>
      <sz val="11"/>
      <color theme="1"/>
      <name val="Times New Roman"/>
      <family val="1"/>
      <charset val="162"/>
    </font>
    <font>
      <b/>
      <sz val="10"/>
      <color theme="1"/>
      <name val="Times New Roman"/>
      <family val="1"/>
      <charset val="162"/>
    </font>
    <font>
      <sz val="10"/>
      <color theme="1"/>
      <name val="Times New Roman"/>
      <family val="1"/>
      <charset val="162"/>
    </font>
    <font>
      <sz val="9"/>
      <color theme="1"/>
      <name val="Times New Roman"/>
      <family val="1"/>
      <charset val="162"/>
    </font>
    <font>
      <sz val="10"/>
      <color rgb="FF000000"/>
      <name val="Times New Roman"/>
      <family val="1"/>
      <charset val="162"/>
    </font>
    <font>
      <sz val="10"/>
      <name val="Arial"/>
      <family val="2"/>
      <charset val="162"/>
    </font>
    <font>
      <b/>
      <sz val="12"/>
      <color theme="1"/>
      <name val="Times New Roman"/>
      <family val="1"/>
      <charset val="162"/>
    </font>
    <font>
      <sz val="12"/>
      <color theme="1"/>
      <name val="Times New Roman"/>
      <family val="1"/>
      <charset val="162"/>
    </font>
    <font>
      <sz val="12"/>
      <color theme="1"/>
      <name val="Calibri"/>
      <family val="2"/>
      <charset val="162"/>
      <scheme val="minor"/>
    </font>
    <font>
      <sz val="11"/>
      <color rgb="FF333333"/>
      <name val="Times New Roman"/>
      <family val="1"/>
      <charset val="162"/>
    </font>
    <font>
      <b/>
      <sz val="10"/>
      <color rgb="FF000000"/>
      <name val="Times New Roman"/>
      <family val="1"/>
      <charset val="162"/>
    </font>
    <font>
      <sz val="14"/>
      <color theme="1"/>
      <name val="Times New Roman"/>
      <family val="1"/>
      <charset val="162"/>
    </font>
    <font>
      <b/>
      <sz val="12"/>
      <color theme="1"/>
      <name val="Calibri"/>
      <family val="2"/>
      <charset val="162"/>
      <scheme val="minor"/>
    </font>
    <font>
      <b/>
      <sz val="10"/>
      <color theme="1"/>
      <name val="Calibri"/>
      <family val="2"/>
      <charset val="162"/>
      <scheme val="minor"/>
    </font>
    <font>
      <sz val="8"/>
      <color theme="1"/>
      <name val="Times New Roman"/>
      <family val="1"/>
      <charset val="162"/>
    </font>
    <font>
      <b/>
      <sz val="9"/>
      <color theme="1"/>
      <name val="Calibri"/>
      <family val="2"/>
      <charset val="162"/>
      <scheme val="minor"/>
    </font>
    <font>
      <sz val="10"/>
      <color theme="1"/>
      <name val="Calibri"/>
      <family val="2"/>
      <charset val="162"/>
      <scheme val="minor"/>
    </font>
    <font>
      <b/>
      <sz val="11"/>
      <color rgb="FFC00000"/>
      <name val="Calibri"/>
      <family val="2"/>
      <charset val="162"/>
      <scheme val="minor"/>
    </font>
    <font>
      <b/>
      <u/>
      <sz val="12"/>
      <color rgb="FFC00000"/>
      <name val="Times New Roman"/>
      <family val="1"/>
      <charset val="162"/>
    </font>
    <font>
      <b/>
      <sz val="9"/>
      <color theme="1"/>
      <name val="Times New Roman"/>
      <family val="1"/>
      <charset val="162"/>
    </font>
    <font>
      <sz val="8"/>
      <name val="Calibri"/>
      <family val="2"/>
      <charset val="162"/>
      <scheme val="minor"/>
    </font>
  </fonts>
  <fills count="5">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C000"/>
        <bgColor indexed="64"/>
      </patternFill>
    </fill>
  </fills>
  <borders count="47">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auto="1"/>
      </left>
      <right style="thin">
        <color auto="1"/>
      </right>
      <top/>
      <bottom/>
      <diagonal/>
    </border>
    <border>
      <left/>
      <right style="thin">
        <color indexed="64"/>
      </right>
      <top/>
      <bottom style="thin">
        <color indexed="64"/>
      </bottom>
      <diagonal/>
    </border>
    <border>
      <left style="medium">
        <color auto="1"/>
      </left>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indexed="64"/>
      </right>
      <top style="thin">
        <color auto="1"/>
      </top>
      <bottom style="thin">
        <color indexed="64"/>
      </bottom>
      <diagonal/>
    </border>
    <border>
      <left/>
      <right style="medium">
        <color indexed="64"/>
      </right>
      <top style="thin">
        <color auto="1"/>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auto="1"/>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style="medium">
        <color indexed="64"/>
      </left>
      <right/>
      <top style="thin">
        <color indexed="64"/>
      </top>
      <bottom style="medium">
        <color indexed="64"/>
      </bottom>
      <diagonal/>
    </border>
  </borders>
  <cellStyleXfs count="2">
    <xf numFmtId="0" fontId="0" fillId="0" borderId="0"/>
    <xf numFmtId="0" fontId="14" fillId="0" borderId="0"/>
  </cellStyleXfs>
  <cellXfs count="374">
    <xf numFmtId="0" fontId="0" fillId="0" borderId="0" xfId="0"/>
    <xf numFmtId="0" fontId="1" fillId="0" borderId="1" xfId="0" applyFont="1" applyBorder="1"/>
    <xf numFmtId="0" fontId="2" fillId="0" borderId="0" xfId="0" applyFont="1"/>
    <xf numFmtId="167" fontId="4" fillId="2" borderId="17" xfId="0" applyNumberFormat="1"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protection locked="0"/>
    </xf>
    <xf numFmtId="167" fontId="4" fillId="2" borderId="5" xfId="0" applyNumberFormat="1" applyFont="1" applyFill="1" applyBorder="1" applyAlignment="1" applyProtection="1">
      <alignment horizontal="center" vertical="center" wrapText="1"/>
      <protection locked="0"/>
    </xf>
    <xf numFmtId="167" fontId="4" fillId="2" borderId="6" xfId="0" applyNumberFormat="1" applyFont="1" applyFill="1" applyBorder="1" applyAlignment="1" applyProtection="1">
      <alignment horizontal="center" vertical="center" wrapText="1"/>
      <protection locked="0"/>
    </xf>
    <xf numFmtId="167" fontId="4" fillId="2" borderId="7" xfId="0" applyNumberFormat="1" applyFont="1" applyFill="1" applyBorder="1" applyAlignment="1" applyProtection="1">
      <alignment horizontal="center" vertical="center" wrapText="1"/>
      <protection locked="0"/>
    </xf>
    <xf numFmtId="167" fontId="4" fillId="2" borderId="8" xfId="0" applyNumberFormat="1" applyFont="1" applyFill="1" applyBorder="1" applyAlignment="1" applyProtection="1">
      <alignment horizontal="center" vertical="center" wrapText="1"/>
      <protection locked="0"/>
    </xf>
    <xf numFmtId="167" fontId="4" fillId="2" borderId="1" xfId="0" applyNumberFormat="1" applyFont="1" applyFill="1" applyBorder="1" applyAlignment="1" applyProtection="1">
      <alignment horizontal="center" vertical="center" wrapText="1"/>
      <protection locked="0"/>
    </xf>
    <xf numFmtId="167" fontId="4" fillId="2" borderId="9" xfId="0" applyNumberFormat="1" applyFont="1" applyFill="1" applyBorder="1" applyAlignment="1" applyProtection="1">
      <alignment horizontal="center" vertical="center" wrapText="1"/>
      <protection locked="0"/>
    </xf>
    <xf numFmtId="167" fontId="4" fillId="2" borderId="10" xfId="0" applyNumberFormat="1" applyFont="1" applyFill="1" applyBorder="1" applyAlignment="1" applyProtection="1">
      <alignment horizontal="center" vertical="center" wrapText="1"/>
      <protection locked="0"/>
    </xf>
    <xf numFmtId="167" fontId="4" fillId="2" borderId="11" xfId="0" applyNumberFormat="1" applyFont="1" applyFill="1" applyBorder="1" applyAlignment="1" applyProtection="1">
      <alignment horizontal="center" vertical="center" wrapText="1"/>
      <protection locked="0"/>
    </xf>
    <xf numFmtId="167" fontId="4" fillId="2" borderId="12" xfId="0" applyNumberFormat="1" applyFont="1" applyFill="1" applyBorder="1" applyAlignment="1" applyProtection="1">
      <alignment horizontal="center" vertical="center" wrapText="1"/>
      <protection locked="0"/>
    </xf>
    <xf numFmtId="164"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17" fillId="0" borderId="0" xfId="0" applyFont="1"/>
    <xf numFmtId="10" fontId="2" fillId="2" borderId="1" xfId="0" applyNumberFormat="1" applyFont="1" applyFill="1" applyBorder="1" applyAlignment="1" applyProtection="1">
      <alignment horizontal="center"/>
      <protection locked="0"/>
    </xf>
    <xf numFmtId="0" fontId="1" fillId="0" borderId="1" xfId="0" applyFont="1" applyBorder="1" applyAlignment="1">
      <alignment wrapText="1"/>
    </xf>
    <xf numFmtId="0" fontId="16" fillId="0" borderId="0" xfId="0" applyFont="1" applyProtection="1">
      <protection hidden="1"/>
    </xf>
    <xf numFmtId="0" fontId="17" fillId="0" borderId="0" xfId="0" applyFont="1" applyProtection="1">
      <protection hidden="1"/>
    </xf>
    <xf numFmtId="0" fontId="0" fillId="0" borderId="1" xfId="0" applyBorder="1" applyAlignment="1" applyProtection="1">
      <alignment horizontal="center" vertical="center"/>
      <protection hidden="1"/>
    </xf>
    <xf numFmtId="165" fontId="0" fillId="0" borderId="1" xfId="0" applyNumberFormat="1" applyBorder="1" applyAlignment="1" applyProtection="1">
      <alignment horizontal="center" vertical="center"/>
      <protection hidden="1"/>
    </xf>
    <xf numFmtId="166" fontId="0" fillId="0" borderId="1" xfId="0" applyNumberFormat="1" applyBorder="1" applyAlignment="1" applyProtection="1">
      <alignment horizontal="center" vertical="center"/>
      <protection hidden="1"/>
    </xf>
    <xf numFmtId="0" fontId="1" fillId="0" borderId="1" xfId="0" applyFont="1" applyBorder="1" applyAlignment="1" applyProtection="1">
      <alignment horizontal="center" vertical="center"/>
      <protection hidden="1"/>
    </xf>
    <xf numFmtId="0" fontId="2" fillId="0" borderId="0" xfId="0" applyFont="1" applyProtection="1">
      <protection hidden="1"/>
    </xf>
    <xf numFmtId="0" fontId="22" fillId="0" borderId="1" xfId="0" applyFont="1" applyBorder="1" applyAlignment="1" applyProtection="1">
      <alignment horizontal="center" vertical="center"/>
      <protection hidden="1"/>
    </xf>
    <xf numFmtId="0" fontId="10" fillId="0" borderId="1" xfId="0" applyFont="1" applyBorder="1" applyAlignment="1" applyProtection="1">
      <alignment horizontal="center"/>
      <protection hidden="1"/>
    </xf>
    <xf numFmtId="164" fontId="11" fillId="0" borderId="19" xfId="0" applyNumberFormat="1" applyFont="1" applyBorder="1" applyAlignment="1" applyProtection="1">
      <alignment horizontal="center" vertical="center"/>
      <protection hidden="1"/>
    </xf>
    <xf numFmtId="164" fontId="11" fillId="0" borderId="1" xfId="0" applyNumberFormat="1" applyFont="1" applyBorder="1" applyAlignment="1" applyProtection="1">
      <alignment horizontal="center" vertical="center"/>
      <protection hidden="1"/>
    </xf>
    <xf numFmtId="3" fontId="11" fillId="0" borderId="1" xfId="0" applyNumberFormat="1" applyFont="1" applyBorder="1" applyAlignment="1" applyProtection="1">
      <alignment horizontal="center"/>
      <protection hidden="1"/>
    </xf>
    <xf numFmtId="0" fontId="11" fillId="3" borderId="9" xfId="0" applyFont="1" applyFill="1" applyBorder="1" applyAlignment="1" applyProtection="1">
      <alignment horizontal="center" vertical="center"/>
      <protection hidden="1"/>
    </xf>
    <xf numFmtId="0" fontId="10" fillId="0" borderId="1" xfId="0" applyFont="1" applyBorder="1" applyAlignment="1" applyProtection="1">
      <alignment horizontal="center" vertical="center"/>
      <protection hidden="1"/>
    </xf>
    <xf numFmtId="164" fontId="2" fillId="0" borderId="0" xfId="0" applyNumberFormat="1" applyFont="1" applyAlignment="1" applyProtection="1">
      <alignment horizontal="left" vertical="center"/>
      <protection hidden="1"/>
    </xf>
    <xf numFmtId="164" fontId="2" fillId="0" borderId="0" xfId="0" applyNumberFormat="1" applyFont="1" applyAlignment="1" applyProtection="1">
      <alignment horizontal="right" vertical="center"/>
      <protection hidden="1"/>
    </xf>
    <xf numFmtId="14" fontId="2" fillId="0" borderId="0" xfId="0" applyNumberFormat="1" applyFont="1" applyAlignment="1" applyProtection="1">
      <alignment horizontal="right" vertical="center"/>
      <protection hidden="1"/>
    </xf>
    <xf numFmtId="0" fontId="2" fillId="0" borderId="0" xfId="0" applyFont="1" applyAlignment="1" applyProtection="1">
      <alignment horizontal="center" vertical="center"/>
      <protection hidden="1"/>
    </xf>
    <xf numFmtId="0" fontId="25" fillId="0" borderId="0" xfId="0" applyFont="1" applyAlignment="1" applyProtection="1">
      <alignment wrapText="1"/>
      <protection hidden="1"/>
    </xf>
    <xf numFmtId="2" fontId="8" fillId="0" borderId="0" xfId="0" applyNumberFormat="1" applyFont="1" applyProtection="1">
      <protection hidden="1"/>
    </xf>
    <xf numFmtId="1" fontId="2" fillId="0" borderId="0" xfId="0" applyNumberFormat="1" applyFont="1" applyAlignment="1" applyProtection="1">
      <alignment horizontal="left" vertical="center"/>
      <protection hidden="1"/>
    </xf>
    <xf numFmtId="14" fontId="2" fillId="0" borderId="0" xfId="0" applyNumberFormat="1" applyFont="1" applyAlignment="1" applyProtection="1">
      <alignment horizontal="right"/>
      <protection hidden="1"/>
    </xf>
    <xf numFmtId="0" fontId="12" fillId="0" borderId="0" xfId="0" applyFont="1" applyAlignment="1" applyProtection="1">
      <alignment wrapText="1"/>
      <protection hidden="1"/>
    </xf>
    <xf numFmtId="0" fontId="11" fillId="0" borderId="0" xfId="0" applyFont="1" applyAlignment="1" applyProtection="1">
      <alignment horizontal="center" wrapText="1"/>
      <protection hidden="1"/>
    </xf>
    <xf numFmtId="0" fontId="11" fillId="0" borderId="0" xfId="0" applyFont="1" applyAlignment="1" applyProtection="1">
      <alignment horizontal="center" vertical="center"/>
      <protection hidden="1"/>
    </xf>
    <xf numFmtId="0" fontId="10" fillId="0" borderId="0" xfId="0" applyFont="1" applyAlignment="1" applyProtection="1">
      <alignment horizontal="center" vertical="center"/>
      <protection hidden="1"/>
    </xf>
    <xf numFmtId="4" fontId="2" fillId="0" borderId="0" xfId="0" applyNumberFormat="1" applyFont="1" applyAlignment="1" applyProtection="1">
      <alignment horizontal="left" vertical="center"/>
      <protection hidden="1"/>
    </xf>
    <xf numFmtId="164" fontId="2" fillId="0" borderId="0" xfId="0" applyNumberFormat="1" applyFont="1" applyAlignment="1" applyProtection="1">
      <alignment horizontal="right"/>
      <protection hidden="1"/>
    </xf>
    <xf numFmtId="3" fontId="2" fillId="0" borderId="0" xfId="0" applyNumberFormat="1" applyFont="1" applyProtection="1">
      <protection hidden="1"/>
    </xf>
    <xf numFmtId="0" fontId="2" fillId="0" borderId="0" xfId="0" applyFont="1" applyAlignment="1" applyProtection="1">
      <alignment horizontal="center" vertical="center" wrapText="1"/>
      <protection hidden="1"/>
    </xf>
    <xf numFmtId="0" fontId="8" fillId="0" borderId="0" xfId="0" applyFont="1" applyAlignment="1" applyProtection="1">
      <alignment horizontal="center" vertical="center"/>
      <protection hidden="1"/>
    </xf>
    <xf numFmtId="2" fontId="2" fillId="0" borderId="0" xfId="0" applyNumberFormat="1" applyFont="1" applyProtection="1">
      <protection hidden="1"/>
    </xf>
    <xf numFmtId="0" fontId="8" fillId="0" borderId="0" xfId="0" applyFont="1" applyProtection="1">
      <protection hidden="1"/>
    </xf>
    <xf numFmtId="170" fontId="8" fillId="0" borderId="0" xfId="0" applyNumberFormat="1" applyFont="1" applyAlignment="1" applyProtection="1">
      <alignment vertical="center"/>
      <protection hidden="1"/>
    </xf>
    <xf numFmtId="3" fontId="2" fillId="0" borderId="0" xfId="0" applyNumberFormat="1" applyFont="1" applyAlignment="1" applyProtection="1">
      <alignment vertical="center"/>
      <protection hidden="1"/>
    </xf>
    <xf numFmtId="2" fontId="2" fillId="0" borderId="0" xfId="0" applyNumberFormat="1" applyFont="1" applyAlignment="1" applyProtection="1">
      <alignment vertical="center"/>
      <protection hidden="1"/>
    </xf>
    <xf numFmtId="2" fontId="9" fillId="0" borderId="0" xfId="0" applyNumberFormat="1" applyFont="1" applyAlignment="1" applyProtection="1">
      <alignment horizontal="center" vertical="center"/>
      <protection hidden="1"/>
    </xf>
    <xf numFmtId="0" fontId="0" fillId="0" borderId="0" xfId="0" applyAlignment="1" applyProtection="1">
      <alignment horizontal="left" vertical="center"/>
      <protection hidden="1"/>
    </xf>
    <xf numFmtId="14" fontId="2" fillId="0" borderId="0" xfId="0" applyNumberFormat="1" applyFont="1" applyAlignment="1" applyProtection="1">
      <alignment horizontal="center" vertical="center"/>
      <protection hidden="1"/>
    </xf>
    <xf numFmtId="2" fontId="27" fillId="0" borderId="0" xfId="0" applyNumberFormat="1" applyFont="1" applyAlignment="1" applyProtection="1">
      <alignment horizontal="center" vertical="center"/>
      <protection hidden="1"/>
    </xf>
    <xf numFmtId="0" fontId="2" fillId="0" borderId="1" xfId="0" applyFont="1" applyBorder="1" applyProtection="1">
      <protection hidden="1"/>
    </xf>
    <xf numFmtId="0" fontId="2" fillId="0" borderId="1" xfId="0" applyFont="1" applyBorder="1" applyAlignment="1" applyProtection="1">
      <alignment wrapText="1"/>
      <protection hidden="1"/>
    </xf>
    <xf numFmtId="0" fontId="2" fillId="0" borderId="1" xfId="0" applyFont="1" applyBorder="1" applyAlignment="1" applyProtection="1">
      <alignment horizontal="center" vertical="center"/>
      <protection hidden="1"/>
    </xf>
    <xf numFmtId="0" fontId="2" fillId="0" borderId="1" xfId="0" applyFont="1" applyBorder="1" applyAlignment="1" applyProtection="1">
      <alignment horizontal="center"/>
      <protection hidden="1"/>
    </xf>
    <xf numFmtId="164" fontId="28" fillId="0" borderId="1" xfId="0" applyNumberFormat="1" applyFont="1" applyBorder="1" applyAlignment="1" applyProtection="1">
      <alignment horizontal="center" vertical="center"/>
      <protection hidden="1"/>
    </xf>
    <xf numFmtId="1" fontId="2" fillId="0" borderId="1" xfId="0" applyNumberFormat="1" applyFont="1" applyBorder="1" applyProtection="1">
      <protection hidden="1"/>
    </xf>
    <xf numFmtId="1" fontId="12" fillId="0" borderId="1" xfId="0" applyNumberFormat="1" applyFont="1" applyBorder="1" applyProtection="1">
      <protection hidden="1"/>
    </xf>
    <xf numFmtId="0" fontId="2" fillId="0" borderId="1" xfId="0" applyFont="1" applyBorder="1" applyAlignment="1" applyProtection="1">
      <alignment vertical="center"/>
      <protection hidden="1"/>
    </xf>
    <xf numFmtId="0" fontId="2" fillId="0" borderId="1" xfId="0" applyFont="1" applyBorder="1" applyAlignment="1" applyProtection="1">
      <alignment horizontal="right" vertical="center"/>
      <protection hidden="1"/>
    </xf>
    <xf numFmtId="0" fontId="18" fillId="0" borderId="0" xfId="0" applyFont="1" applyAlignment="1" applyProtection="1">
      <alignment horizontal="right" vertical="center"/>
      <protection hidden="1"/>
    </xf>
    <xf numFmtId="0" fontId="11" fillId="0" borderId="1" xfId="0" applyFont="1" applyBorder="1" applyProtection="1">
      <protection hidden="1"/>
    </xf>
    <xf numFmtId="164" fontId="10" fillId="0" borderId="1" xfId="0" applyNumberFormat="1" applyFont="1" applyBorder="1" applyAlignment="1" applyProtection="1">
      <alignment horizontal="center" vertical="center"/>
      <protection hidden="1"/>
    </xf>
    <xf numFmtId="0" fontId="2" fillId="0" borderId="0" xfId="0" applyFont="1" applyAlignment="1" applyProtection="1">
      <alignment vertical="center"/>
      <protection hidden="1"/>
    </xf>
    <xf numFmtId="0" fontId="21" fillId="0" borderId="1" xfId="0" applyFont="1" applyBorder="1" applyAlignment="1" applyProtection="1">
      <alignment horizontal="center" vertical="center"/>
    </xf>
    <xf numFmtId="3" fontId="17" fillId="0" borderId="1" xfId="0" applyNumberFormat="1" applyFont="1" applyBorder="1" applyAlignment="1" applyProtection="1">
      <alignment horizontal="center" vertical="center"/>
    </xf>
    <xf numFmtId="167" fontId="1" fillId="0" borderId="1" xfId="0" applyNumberFormat="1" applyFont="1" applyBorder="1" applyAlignment="1" applyProtection="1">
      <alignment horizontal="right" vertical="center"/>
    </xf>
    <xf numFmtId="0" fontId="0" fillId="0" borderId="0" xfId="0" applyProtection="1"/>
    <xf numFmtId="0" fontId="11" fillId="0" borderId="1" xfId="0" applyFont="1" applyBorder="1" applyAlignment="1" applyProtection="1">
      <alignment horizontal="center" vertical="center"/>
    </xf>
    <xf numFmtId="0" fontId="11" fillId="0" borderId="1" xfId="0" applyFont="1"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1" xfId="0" applyBorder="1" applyAlignment="1" applyProtection="1">
      <alignment horizontal="center" vertical="center"/>
    </xf>
    <xf numFmtId="0" fontId="2" fillId="0" borderId="1" xfId="0" applyFont="1" applyBorder="1" applyAlignment="1" applyProtection="1">
      <alignment vertical="center"/>
    </xf>
    <xf numFmtId="171" fontId="0" fillId="0" borderId="1" xfId="0" applyNumberFormat="1" applyBorder="1" applyAlignment="1" applyProtection="1">
      <alignment horizontal="right" vertical="center"/>
    </xf>
    <xf numFmtId="171" fontId="0" fillId="0" borderId="1" xfId="0" applyNumberFormat="1" applyBorder="1" applyAlignment="1" applyProtection="1">
      <alignment vertical="center"/>
    </xf>
    <xf numFmtId="171" fontId="0" fillId="0" borderId="1" xfId="0" applyNumberFormat="1" applyBorder="1" applyAlignment="1" applyProtection="1">
      <alignment horizontal="center" vertical="center"/>
    </xf>
    <xf numFmtId="166" fontId="25" fillId="0" borderId="1" xfId="0" applyNumberFormat="1" applyFont="1" applyBorder="1" applyAlignment="1" applyProtection="1">
      <alignment horizontal="center" vertical="center"/>
    </xf>
    <xf numFmtId="0" fontId="25" fillId="0" borderId="1" xfId="0" applyFont="1" applyBorder="1" applyAlignment="1" applyProtection="1">
      <alignment horizontal="center" vertical="center"/>
    </xf>
    <xf numFmtId="166" fontId="0" fillId="0" borderId="1" xfId="0" applyNumberFormat="1" applyFont="1" applyBorder="1" applyAlignment="1" applyProtection="1">
      <alignment vertical="center"/>
    </xf>
    <xf numFmtId="166" fontId="0" fillId="0" borderId="1" xfId="0" applyNumberFormat="1" applyFont="1" applyBorder="1" applyAlignment="1" applyProtection="1">
      <alignment horizontal="center" vertical="center"/>
    </xf>
    <xf numFmtId="166" fontId="2" fillId="0" borderId="0" xfId="0" applyNumberFormat="1" applyFont="1" applyProtection="1">
      <protection hidden="1"/>
    </xf>
    <xf numFmtId="0" fontId="0" fillId="0" borderId="0" xfId="0" applyFont="1" applyProtection="1">
      <protection hidden="1"/>
    </xf>
    <xf numFmtId="3" fontId="23" fillId="0" borderId="1" xfId="0" applyNumberFormat="1" applyFont="1" applyBorder="1" applyProtection="1">
      <protection hidden="1"/>
    </xf>
    <xf numFmtId="0" fontId="2" fillId="0" borderId="21" xfId="0" applyFont="1" applyBorder="1" applyAlignment="1" applyProtection="1">
      <alignment horizontal="center"/>
      <protection hidden="1"/>
    </xf>
    <xf numFmtId="0" fontId="8" fillId="0" borderId="1" xfId="0" applyFont="1" applyBorder="1" applyAlignment="1" applyProtection="1">
      <alignment horizontal="center" vertical="center"/>
      <protection hidden="1"/>
    </xf>
    <xf numFmtId="0" fontId="22" fillId="0" borderId="1" xfId="0" applyFont="1" applyBorder="1" applyAlignment="1" applyProtection="1">
      <alignment horizontal="center"/>
      <protection hidden="1"/>
    </xf>
    <xf numFmtId="0" fontId="0" fillId="0" borderId="0" xfId="0" applyProtection="1">
      <protection hidden="1"/>
    </xf>
    <xf numFmtId="0" fontId="1" fillId="0" borderId="2" xfId="0" applyFont="1" applyBorder="1" applyAlignment="1" applyProtection="1">
      <alignment horizontal="right"/>
      <protection hidden="1"/>
    </xf>
    <xf numFmtId="0" fontId="1" fillId="0" borderId="2" xfId="0" applyFont="1" applyBorder="1" applyAlignment="1" applyProtection="1">
      <alignment horizontal="center" vertical="center"/>
      <protection hidden="1"/>
    </xf>
    <xf numFmtId="169" fontId="0" fillId="0" borderId="0" xfId="0" applyNumberFormat="1" applyProtection="1">
      <protection hidden="1"/>
    </xf>
    <xf numFmtId="2" fontId="16" fillId="0" borderId="0" xfId="0" applyNumberFormat="1" applyFont="1" applyProtection="1">
      <protection hidden="1"/>
    </xf>
    <xf numFmtId="0" fontId="1" fillId="0" borderId="26" xfId="0" applyFont="1" applyBorder="1" applyProtection="1">
      <protection hidden="1"/>
    </xf>
    <xf numFmtId="0" fontId="0" fillId="0" borderId="1" xfId="0" applyBorder="1" applyProtection="1">
      <protection hidden="1"/>
    </xf>
    <xf numFmtId="0" fontId="1" fillId="3" borderId="1" xfId="0" applyFont="1" applyFill="1" applyBorder="1" applyAlignment="1" applyProtection="1">
      <alignment horizontal="center" vertical="center"/>
      <protection hidden="1"/>
    </xf>
    <xf numFmtId="10" fontId="0" fillId="0" borderId="1" xfId="0" applyNumberFormat="1" applyBorder="1" applyAlignment="1" applyProtection="1">
      <alignment horizontal="center" vertical="center"/>
      <protection hidden="1"/>
    </xf>
    <xf numFmtId="166" fontId="16" fillId="0" borderId="0" xfId="0" applyNumberFormat="1" applyFont="1" applyProtection="1">
      <protection hidden="1"/>
    </xf>
    <xf numFmtId="0" fontId="1" fillId="2" borderId="2" xfId="0" applyFont="1"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10" fontId="0" fillId="2" borderId="26" xfId="0" applyNumberFormat="1" applyFill="1" applyBorder="1" applyAlignment="1" applyProtection="1">
      <alignment horizontal="center" vertical="center"/>
      <protection locked="0"/>
    </xf>
    <xf numFmtId="10" fontId="0" fillId="2" borderId="1" xfId="0" applyNumberFormat="1" applyFill="1" applyBorder="1" applyAlignment="1" applyProtection="1">
      <alignment horizontal="center" vertical="center"/>
      <protection locked="0"/>
    </xf>
    <xf numFmtId="0" fontId="3" fillId="0" borderId="2" xfId="0" applyFont="1" applyBorder="1" applyAlignment="1" applyProtection="1">
      <alignment horizontal="center" vertical="top" wrapText="1"/>
      <protection hidden="1"/>
    </xf>
    <xf numFmtId="0" fontId="3" fillId="0" borderId="2" xfId="0" applyFont="1" applyBorder="1" applyAlignment="1" applyProtection="1">
      <alignment horizontal="center"/>
      <protection hidden="1"/>
    </xf>
    <xf numFmtId="0" fontId="3" fillId="0" borderId="4" xfId="0" applyFont="1" applyBorder="1" applyAlignment="1" applyProtection="1">
      <alignment vertical="top" wrapText="1"/>
      <protection hidden="1"/>
    </xf>
    <xf numFmtId="0" fontId="5" fillId="0" borderId="0" xfId="0" applyFont="1" applyAlignment="1" applyProtection="1">
      <alignment horizontal="center" vertical="center"/>
      <protection hidden="1"/>
    </xf>
    <xf numFmtId="0" fontId="3" fillId="0" borderId="14" xfId="0" applyFont="1" applyBorder="1" applyAlignment="1" applyProtection="1">
      <alignment vertical="center" wrapText="1"/>
      <protection hidden="1"/>
    </xf>
    <xf numFmtId="168" fontId="3" fillId="0" borderId="15" xfId="0" applyNumberFormat="1" applyFont="1" applyBorder="1" applyAlignment="1" applyProtection="1">
      <alignment horizontal="center" vertical="center" wrapText="1"/>
      <protection hidden="1"/>
    </xf>
    <xf numFmtId="0" fontId="7" fillId="0" borderId="0" xfId="0" applyFont="1" applyAlignment="1" applyProtection="1">
      <alignment horizontal="right" vertical="center"/>
      <protection hidden="1"/>
    </xf>
    <xf numFmtId="2" fontId="3" fillId="0" borderId="0" xfId="0" applyNumberFormat="1" applyFont="1" applyAlignment="1" applyProtection="1">
      <alignment horizontal="center" vertical="center" wrapText="1"/>
      <protection hidden="1"/>
    </xf>
    <xf numFmtId="0" fontId="24" fillId="0" borderId="30" xfId="0" applyFont="1" applyBorder="1" applyAlignment="1" applyProtection="1">
      <alignment horizontal="left"/>
      <protection hidden="1"/>
    </xf>
    <xf numFmtId="0" fontId="11" fillId="0" borderId="1" xfId="0" applyFont="1" applyBorder="1" applyAlignment="1" applyProtection="1">
      <alignment horizontal="right"/>
      <protection hidden="1"/>
    </xf>
    <xf numFmtId="0" fontId="3" fillId="0" borderId="0" xfId="0" applyFont="1" applyAlignment="1" applyProtection="1">
      <alignment horizontal="center" vertical="top" wrapText="1"/>
      <protection hidden="1"/>
    </xf>
    <xf numFmtId="0" fontId="3" fillId="0" borderId="0" xfId="0" applyFont="1" applyAlignment="1" applyProtection="1">
      <alignment horizontal="center"/>
      <protection hidden="1"/>
    </xf>
    <xf numFmtId="0" fontId="3" fillId="0" borderId="0" xfId="0" applyFont="1" applyAlignment="1" applyProtection="1">
      <alignment horizontal="center" vertical="center"/>
      <protection hidden="1"/>
    </xf>
    <xf numFmtId="0" fontId="3" fillId="0" borderId="2" xfId="0" applyFont="1" applyBorder="1" applyAlignment="1" applyProtection="1">
      <alignment horizontal="center" vertical="center" wrapText="1"/>
      <protection hidden="1"/>
    </xf>
    <xf numFmtId="0" fontId="3" fillId="0" borderId="4" xfId="0" applyFont="1" applyBorder="1" applyAlignment="1" applyProtection="1">
      <alignment horizontal="center" vertical="center" wrapText="1"/>
      <protection hidden="1"/>
    </xf>
    <xf numFmtId="0" fontId="4" fillId="0" borderId="0" xfId="0" applyFont="1" applyProtection="1">
      <protection hidden="1"/>
    </xf>
    <xf numFmtId="0" fontId="19" fillId="0" borderId="27" xfId="0" applyFont="1" applyBorder="1" applyAlignment="1" applyProtection="1">
      <alignment horizontal="center" vertical="center"/>
      <protection hidden="1"/>
    </xf>
    <xf numFmtId="0" fontId="19" fillId="0" borderId="21" xfId="0" applyFont="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4" fillId="0" borderId="1" xfId="0" applyFont="1" applyBorder="1" applyAlignment="1" applyProtection="1">
      <alignment vertical="center"/>
      <protection hidden="1"/>
    </xf>
    <xf numFmtId="0" fontId="3" fillId="0" borderId="18" xfId="0" applyFont="1" applyBorder="1" applyAlignment="1" applyProtection="1">
      <alignment horizontal="center" vertical="center"/>
      <protection hidden="1"/>
    </xf>
    <xf numFmtId="0" fontId="3" fillId="0" borderId="22" xfId="0" applyFont="1" applyBorder="1" applyProtection="1">
      <protection hidden="1"/>
    </xf>
    <xf numFmtId="0" fontId="3" fillId="0" borderId="27"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8" fillId="0" borderId="1" xfId="0" applyFont="1" applyBorder="1" applyAlignment="1" applyProtection="1">
      <alignment horizontal="left"/>
      <protection hidden="1"/>
    </xf>
    <xf numFmtId="0" fontId="2" fillId="3" borderId="1" xfId="0" applyFont="1" applyFill="1" applyBorder="1" applyProtection="1">
      <protection hidden="1"/>
    </xf>
    <xf numFmtId="0" fontId="8" fillId="3" borderId="1" xfId="0" applyFont="1" applyFill="1" applyBorder="1" applyAlignment="1" applyProtection="1">
      <alignment horizontal="center" vertical="center"/>
      <protection hidden="1"/>
    </xf>
    <xf numFmtId="0" fontId="8" fillId="0" borderId="21" xfId="0" applyFont="1" applyBorder="1" applyAlignment="1" applyProtection="1">
      <alignment horizontal="left"/>
      <protection hidden="1"/>
    </xf>
    <xf numFmtId="0" fontId="8" fillId="0" borderId="0" xfId="0" applyFont="1" applyAlignment="1" applyProtection="1">
      <alignment horizontal="left"/>
      <protection hidden="1"/>
    </xf>
    <xf numFmtId="0" fontId="0" fillId="0" borderId="25" xfId="0" applyBorder="1" applyProtection="1">
      <protection hidden="1"/>
    </xf>
    <xf numFmtId="0" fontId="1" fillId="0" borderId="18" xfId="0" applyFont="1" applyBorder="1" applyAlignment="1" applyProtection="1">
      <alignment horizontal="center"/>
      <protection hidden="1"/>
    </xf>
    <xf numFmtId="0" fontId="1" fillId="0" borderId="27" xfId="0" applyFont="1" applyBorder="1" applyAlignment="1" applyProtection="1">
      <alignment horizontal="center"/>
      <protection hidden="1"/>
    </xf>
    <xf numFmtId="0" fontId="1" fillId="0" borderId="0" xfId="0" applyFont="1" applyAlignment="1" applyProtection="1">
      <alignment horizontal="center"/>
      <protection hidden="1"/>
    </xf>
    <xf numFmtId="0" fontId="2" fillId="0" borderId="1" xfId="0" applyFont="1" applyBorder="1" applyAlignment="1" applyProtection="1">
      <alignment horizontal="left"/>
      <protection hidden="1"/>
    </xf>
    <xf numFmtId="0" fontId="8" fillId="0" borderId="25" xfId="0" applyFont="1" applyBorder="1" applyAlignment="1" applyProtection="1">
      <alignment horizontal="left"/>
      <protection hidden="1"/>
    </xf>
    <xf numFmtId="0" fontId="8" fillId="0" borderId="27" xfId="0" applyFont="1" applyBorder="1" applyAlignment="1" applyProtection="1">
      <alignment horizontal="left"/>
      <protection hidden="1"/>
    </xf>
    <xf numFmtId="0" fontId="8" fillId="3" borderId="1" xfId="0" applyFont="1" applyFill="1" applyBorder="1" applyAlignment="1" applyProtection="1">
      <alignment horizontal="left"/>
      <protection hidden="1"/>
    </xf>
    <xf numFmtId="169" fontId="8" fillId="3" borderId="23" xfId="0" applyNumberFormat="1" applyFont="1" applyFill="1" applyBorder="1" applyAlignment="1" applyProtection="1">
      <alignment horizontal="center" vertical="center"/>
      <protection hidden="1"/>
    </xf>
    <xf numFmtId="0" fontId="2" fillId="0" borderId="24" xfId="0" applyFont="1" applyBorder="1" applyAlignment="1" applyProtection="1">
      <alignment horizontal="center"/>
      <protection hidden="1"/>
    </xf>
    <xf numFmtId="0" fontId="2" fillId="0" borderId="25" xfId="0" applyFont="1" applyBorder="1" applyProtection="1">
      <protection hidden="1"/>
    </xf>
    <xf numFmtId="0" fontId="4" fillId="0" borderId="0" xfId="0" applyFont="1" applyAlignment="1" applyProtection="1">
      <alignment vertical="center"/>
      <protection hidden="1"/>
    </xf>
    <xf numFmtId="4" fontId="4" fillId="0" borderId="1" xfId="0" applyNumberFormat="1" applyFont="1" applyBorder="1" applyAlignment="1" applyProtection="1">
      <alignment horizontal="left" vertical="center" wrapText="1"/>
      <protection hidden="1"/>
    </xf>
    <xf numFmtId="169" fontId="4" fillId="0" borderId="1" xfId="0" applyNumberFormat="1" applyFont="1" applyBorder="1" applyAlignment="1" applyProtection="1">
      <alignment horizontal="center" vertical="center" wrapText="1"/>
      <protection hidden="1"/>
    </xf>
    <xf numFmtId="169" fontId="4" fillId="0" borderId="19" xfId="0" applyNumberFormat="1" applyFont="1" applyBorder="1" applyAlignment="1" applyProtection="1">
      <alignment horizontal="center" vertical="center" wrapText="1"/>
      <protection hidden="1"/>
    </xf>
    <xf numFmtId="0" fontId="4" fillId="0" borderId="1" xfId="0" applyFont="1" applyBorder="1" applyAlignment="1" applyProtection="1">
      <alignment horizontal="left" vertical="center"/>
      <protection hidden="1"/>
    </xf>
    <xf numFmtId="169" fontId="3" fillId="3" borderId="1" xfId="0" applyNumberFormat="1" applyFont="1" applyFill="1" applyBorder="1" applyAlignment="1" applyProtection="1">
      <alignment horizontal="center" vertical="center" wrapText="1"/>
      <protection hidden="1"/>
    </xf>
    <xf numFmtId="0" fontId="9" fillId="3" borderId="1" xfId="0" applyFont="1" applyFill="1" applyBorder="1" applyAlignment="1" applyProtection="1">
      <alignment horizontal="center" vertical="center"/>
      <protection hidden="1"/>
    </xf>
    <xf numFmtId="0" fontId="2" fillId="0" borderId="18" xfId="0" applyFont="1" applyBorder="1" applyProtection="1">
      <protection hidden="1"/>
    </xf>
    <xf numFmtId="0" fontId="9" fillId="0" borderId="27" xfId="0" applyFont="1" applyBorder="1" applyAlignment="1" applyProtection="1">
      <alignment horizontal="center" vertical="center"/>
      <protection hidden="1"/>
    </xf>
    <xf numFmtId="0" fontId="8" fillId="4" borderId="18" xfId="0" applyFont="1" applyFill="1" applyBorder="1" applyProtection="1">
      <protection hidden="1"/>
    </xf>
    <xf numFmtId="169" fontId="8" fillId="4" borderId="23" xfId="0" applyNumberFormat="1" applyFont="1" applyFill="1" applyBorder="1" applyAlignment="1" applyProtection="1">
      <alignment horizontal="center" vertical="center"/>
      <protection hidden="1"/>
    </xf>
    <xf numFmtId="0" fontId="2" fillId="0" borderId="0" xfId="0" applyFont="1" applyAlignment="1" applyProtection="1">
      <alignment horizontal="center"/>
      <protection hidden="1"/>
    </xf>
    <xf numFmtId="0" fontId="4" fillId="0" borderId="0" xfId="0" applyFont="1" applyAlignment="1" applyProtection="1">
      <alignment horizontal="center" vertical="center"/>
      <protection hidden="1"/>
    </xf>
    <xf numFmtId="4" fontId="3" fillId="0" borderId="0" xfId="0" applyNumberFormat="1" applyFont="1" applyAlignment="1" applyProtection="1">
      <alignment horizontal="center" vertical="center" wrapText="1"/>
      <protection hidden="1"/>
    </xf>
    <xf numFmtId="0" fontId="9" fillId="4" borderId="1" xfId="0" applyFont="1" applyFill="1" applyBorder="1" applyAlignment="1" applyProtection="1">
      <alignment horizontal="center" vertical="center"/>
      <protection hidden="1"/>
    </xf>
    <xf numFmtId="169" fontId="2" fillId="4" borderId="1" xfId="0" applyNumberFormat="1" applyFont="1" applyFill="1" applyBorder="1" applyAlignment="1" applyProtection="1">
      <alignment horizontal="center" vertical="center"/>
      <protection hidden="1"/>
    </xf>
    <xf numFmtId="0" fontId="11" fillId="0" borderId="0" xfId="0" applyFont="1" applyProtection="1">
      <protection hidden="1"/>
    </xf>
    <xf numFmtId="166" fontId="11" fillId="0" borderId="0" xfId="0" applyNumberFormat="1" applyFont="1" applyAlignment="1" applyProtection="1">
      <alignment horizontal="right" vertical="center" wrapText="1"/>
      <protection hidden="1"/>
    </xf>
    <xf numFmtId="166" fontId="11" fillId="0" borderId="0" xfId="0" applyNumberFormat="1" applyFont="1" applyProtection="1">
      <protection hidden="1"/>
    </xf>
    <xf numFmtId="1" fontId="23" fillId="0" borderId="0" xfId="0" applyNumberFormat="1" applyFont="1" applyProtection="1">
      <protection hidden="1"/>
    </xf>
    <xf numFmtId="0" fontId="26" fillId="0" borderId="18" xfId="0" applyFont="1" applyBorder="1" applyAlignment="1">
      <alignment horizontal="left" vertical="top" wrapText="1"/>
    </xf>
    <xf numFmtId="0" fontId="26" fillId="0" borderId="27" xfId="0" applyFont="1" applyBorder="1" applyAlignment="1">
      <alignment horizontal="left" vertical="top" wrapText="1"/>
    </xf>
    <xf numFmtId="0" fontId="26" fillId="0" borderId="19" xfId="0" applyFont="1" applyBorder="1" applyAlignment="1">
      <alignment horizontal="left" vertical="top" wrapText="1"/>
    </xf>
    <xf numFmtId="0" fontId="26" fillId="0" borderId="18" xfId="0" applyFont="1" applyBorder="1" applyAlignment="1">
      <alignment horizontal="left" wrapText="1"/>
    </xf>
    <xf numFmtId="0" fontId="26" fillId="0" borderId="27" xfId="0" applyFont="1" applyBorder="1" applyAlignment="1">
      <alignment horizontal="left"/>
    </xf>
    <xf numFmtId="0" fontId="26" fillId="0" borderId="19" xfId="0" applyFont="1" applyBorder="1" applyAlignment="1">
      <alignment horizontal="left"/>
    </xf>
    <xf numFmtId="0" fontId="26" fillId="0" borderId="18" xfId="0" applyFont="1" applyBorder="1" applyAlignment="1">
      <alignment horizontal="left"/>
    </xf>
    <xf numFmtId="0" fontId="6" fillId="0" borderId="13"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2" fontId="3" fillId="0" borderId="16" xfId="0" applyNumberFormat="1" applyFont="1" applyBorder="1" applyAlignment="1" applyProtection="1">
      <alignment horizontal="center" vertical="center" wrapText="1"/>
      <protection hidden="1"/>
    </xf>
    <xf numFmtId="2" fontId="3" fillId="0" borderId="3" xfId="0" applyNumberFormat="1" applyFont="1" applyBorder="1" applyAlignment="1" applyProtection="1">
      <alignment horizontal="center" vertical="center" wrapText="1"/>
      <protection hidden="1"/>
    </xf>
    <xf numFmtId="0" fontId="7" fillId="0" borderId="16" xfId="0" applyFont="1" applyBorder="1" applyAlignment="1" applyProtection="1">
      <alignment horizontal="right" vertical="center"/>
      <protection hidden="1"/>
    </xf>
    <xf numFmtId="0" fontId="7" fillId="0" borderId="3" xfId="0" applyFont="1" applyBorder="1" applyAlignment="1" applyProtection="1">
      <alignment horizontal="right" vertical="center"/>
      <protection hidden="1"/>
    </xf>
    <xf numFmtId="0" fontId="22" fillId="0" borderId="18" xfId="0" applyFont="1" applyBorder="1" applyAlignment="1" applyProtection="1">
      <alignment horizontal="left"/>
      <protection hidden="1"/>
    </xf>
    <xf numFmtId="0" fontId="22" fillId="0" borderId="27" xfId="0" applyFont="1" applyBorder="1" applyAlignment="1" applyProtection="1">
      <alignment horizontal="left"/>
      <protection hidden="1"/>
    </xf>
    <xf numFmtId="0" fontId="22" fillId="0" borderId="19" xfId="0" applyFont="1" applyBorder="1" applyAlignment="1" applyProtection="1">
      <alignment horizontal="left"/>
      <protection hidden="1"/>
    </xf>
    <xf numFmtId="0" fontId="21"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3" fillId="0" borderId="1" xfId="0" applyFont="1" applyBorder="1" applyAlignment="1" applyProtection="1">
      <alignment horizontal="center" vertical="center"/>
      <protection hidden="1"/>
    </xf>
    <xf numFmtId="0" fontId="2" fillId="3" borderId="23" xfId="0" applyFont="1" applyFill="1" applyBorder="1" applyAlignment="1" applyProtection="1">
      <alignment horizontal="center" wrapText="1"/>
      <protection hidden="1"/>
    </xf>
    <xf numFmtId="0" fontId="2" fillId="3" borderId="23" xfId="0" applyFont="1" applyFill="1" applyBorder="1" applyAlignment="1" applyProtection="1">
      <alignment horizontal="center"/>
      <protection hidden="1"/>
    </xf>
    <xf numFmtId="0" fontId="2" fillId="3" borderId="26" xfId="0" applyFont="1" applyFill="1" applyBorder="1" applyAlignment="1" applyProtection="1">
      <alignment horizontal="center"/>
      <protection hidden="1"/>
    </xf>
    <xf numFmtId="0" fontId="8" fillId="3" borderId="23" xfId="0" applyFont="1" applyFill="1" applyBorder="1" applyAlignment="1" applyProtection="1">
      <alignment horizontal="center" vertical="center"/>
      <protection hidden="1"/>
    </xf>
    <xf numFmtId="0" fontId="8" fillId="3" borderId="26" xfId="0" applyFont="1" applyFill="1" applyBorder="1" applyAlignment="1" applyProtection="1">
      <alignment horizontal="center" vertical="center"/>
      <protection hidden="1"/>
    </xf>
    <xf numFmtId="0" fontId="2" fillId="0" borderId="1" xfId="0" applyFont="1" applyBorder="1" applyAlignment="1" applyProtection="1">
      <alignment horizontal="center"/>
      <protection hidden="1"/>
    </xf>
    <xf numFmtId="0" fontId="1" fillId="0" borderId="18" xfId="0" applyFont="1" applyBorder="1" applyAlignment="1" applyProtection="1">
      <alignment horizontal="center"/>
      <protection hidden="1"/>
    </xf>
    <xf numFmtId="0" fontId="1" fillId="0" borderId="27" xfId="0" applyFont="1" applyBorder="1" applyAlignment="1" applyProtection="1">
      <alignment horizontal="center"/>
      <protection hidden="1"/>
    </xf>
    <xf numFmtId="0" fontId="1" fillId="0" borderId="19" xfId="0" applyFont="1" applyBorder="1" applyAlignment="1" applyProtection="1">
      <alignment horizontal="center"/>
      <protection hidden="1"/>
    </xf>
    <xf numFmtId="0" fontId="2" fillId="0" borderId="23" xfId="0" applyFont="1" applyBorder="1" applyAlignment="1" applyProtection="1">
      <alignment horizontal="center" wrapText="1"/>
      <protection hidden="1"/>
    </xf>
    <xf numFmtId="0" fontId="2" fillId="0" borderId="30" xfId="0" applyFont="1" applyBorder="1" applyAlignment="1" applyProtection="1">
      <alignment horizontal="center" wrapText="1"/>
      <protection hidden="1"/>
    </xf>
    <xf numFmtId="0" fontId="2" fillId="0" borderId="26" xfId="0" applyFont="1" applyBorder="1" applyAlignment="1" applyProtection="1">
      <alignment horizontal="center" wrapText="1"/>
      <protection hidden="1"/>
    </xf>
    <xf numFmtId="0" fontId="8" fillId="0" borderId="20" xfId="0" applyFont="1" applyBorder="1" applyAlignment="1" applyProtection="1">
      <alignment horizontal="center"/>
      <protection hidden="1"/>
    </xf>
    <xf numFmtId="0" fontId="8" fillId="0" borderId="28" xfId="0" applyFont="1" applyBorder="1" applyAlignment="1" applyProtection="1">
      <alignment horizontal="center"/>
      <protection hidden="1"/>
    </xf>
    <xf numFmtId="0" fontId="8" fillId="0" borderId="22" xfId="0" applyFont="1" applyBorder="1" applyAlignment="1" applyProtection="1">
      <alignment horizontal="center"/>
      <protection hidden="1"/>
    </xf>
    <xf numFmtId="0" fontId="8" fillId="0" borderId="29" xfId="0" applyFont="1" applyBorder="1" applyAlignment="1" applyProtection="1">
      <alignment horizontal="center"/>
      <protection hidden="1"/>
    </xf>
    <xf numFmtId="0" fontId="8" fillId="0" borderId="24" xfId="0" applyFont="1" applyBorder="1" applyAlignment="1" applyProtection="1">
      <alignment horizontal="center"/>
      <protection hidden="1"/>
    </xf>
    <xf numFmtId="0" fontId="8" fillId="0" borderId="31" xfId="0" applyFont="1" applyBorder="1" applyAlignment="1" applyProtection="1">
      <alignment horizontal="center"/>
      <protection hidden="1"/>
    </xf>
    <xf numFmtId="0" fontId="2" fillId="0" borderId="23" xfId="0" applyFont="1" applyBorder="1" applyAlignment="1" applyProtection="1">
      <alignment horizontal="center" vertical="center"/>
      <protection hidden="1"/>
    </xf>
    <xf numFmtId="0" fontId="2" fillId="0" borderId="26" xfId="0" applyFont="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0" fontId="7" fillId="0" borderId="29" xfId="0" applyFont="1" applyBorder="1" applyAlignment="1" applyProtection="1">
      <alignment horizontal="center" vertical="center"/>
      <protection hidden="1"/>
    </xf>
    <xf numFmtId="0" fontId="7" fillId="0" borderId="31" xfId="0" applyFont="1" applyBorder="1" applyAlignment="1" applyProtection="1">
      <alignment horizontal="center" vertical="center"/>
      <protection hidden="1"/>
    </xf>
    <xf numFmtId="166" fontId="20" fillId="0" borderId="23" xfId="0" applyNumberFormat="1" applyFont="1" applyBorder="1" applyAlignment="1" applyProtection="1">
      <alignment horizontal="center" vertical="center" wrapText="1"/>
      <protection hidden="1"/>
    </xf>
    <xf numFmtId="166" fontId="20" fillId="0" borderId="30" xfId="0" applyNumberFormat="1" applyFont="1" applyBorder="1" applyAlignment="1" applyProtection="1">
      <alignment horizontal="center" vertical="center" wrapText="1"/>
      <protection hidden="1"/>
    </xf>
    <xf numFmtId="166" fontId="20" fillId="0" borderId="26" xfId="0" applyNumberFormat="1" applyFont="1" applyBorder="1" applyAlignment="1" applyProtection="1">
      <alignment horizontal="center" vertical="center" wrapText="1"/>
      <protection hidden="1"/>
    </xf>
    <xf numFmtId="166" fontId="20" fillId="0" borderId="23" xfId="0" applyNumberFormat="1" applyFont="1" applyBorder="1" applyAlignment="1" applyProtection="1">
      <alignment horizontal="center" vertical="center"/>
      <protection hidden="1"/>
    </xf>
    <xf numFmtId="166" fontId="20" fillId="0" borderId="30" xfId="0" applyNumberFormat="1" applyFont="1" applyBorder="1" applyAlignment="1" applyProtection="1">
      <alignment horizontal="center" vertical="center"/>
      <protection hidden="1"/>
    </xf>
    <xf numFmtId="166" fontId="20" fillId="0" borderId="26" xfId="0" applyNumberFormat="1" applyFont="1" applyBorder="1" applyAlignment="1" applyProtection="1">
      <alignment horizontal="center" vertical="center"/>
      <protection hidden="1"/>
    </xf>
    <xf numFmtId="0" fontId="2" fillId="4" borderId="23" xfId="0" applyFont="1" applyFill="1" applyBorder="1" applyAlignment="1" applyProtection="1">
      <alignment horizontal="center" wrapText="1"/>
      <protection hidden="1"/>
    </xf>
    <xf numFmtId="0" fontId="2" fillId="4" borderId="23" xfId="0" applyFont="1" applyFill="1" applyBorder="1" applyAlignment="1" applyProtection="1">
      <alignment horizontal="center"/>
      <protection hidden="1"/>
    </xf>
    <xf numFmtId="0" fontId="2" fillId="4" borderId="26" xfId="0" applyFont="1" applyFill="1" applyBorder="1" applyAlignment="1" applyProtection="1">
      <alignment horizontal="center"/>
      <protection hidden="1"/>
    </xf>
    <xf numFmtId="0" fontId="8" fillId="4" borderId="23" xfId="0" applyFont="1" applyFill="1" applyBorder="1" applyAlignment="1" applyProtection="1">
      <alignment horizontal="center" vertical="center"/>
      <protection hidden="1"/>
    </xf>
    <xf numFmtId="0" fontId="8" fillId="4" borderId="26" xfId="0" applyFont="1" applyFill="1" applyBorder="1" applyAlignment="1" applyProtection="1">
      <alignment horizontal="center" vertical="center"/>
      <protection hidden="1"/>
    </xf>
    <xf numFmtId="0" fontId="8" fillId="0" borderId="0" xfId="0" applyFont="1" applyAlignment="1" applyProtection="1">
      <alignment horizontal="left" vertical="center"/>
      <protection hidden="1"/>
    </xf>
    <xf numFmtId="0" fontId="10" fillId="0" borderId="46" xfId="0" applyFont="1" applyBorder="1" applyAlignment="1" applyProtection="1">
      <alignment horizontal="center" vertical="center"/>
      <protection hidden="1"/>
    </xf>
    <xf numFmtId="0" fontId="10" fillId="0" borderId="38" xfId="0" applyFont="1" applyBorder="1" applyAlignment="1" applyProtection="1">
      <alignment horizontal="center" vertical="center"/>
      <protection hidden="1"/>
    </xf>
    <xf numFmtId="0" fontId="10" fillId="0" borderId="41" xfId="0" applyFont="1" applyBorder="1" applyAlignment="1" applyProtection="1">
      <alignment horizontal="center" vertical="center"/>
      <protection hidden="1"/>
    </xf>
    <xf numFmtId="0" fontId="8" fillId="0" borderId="2" xfId="0" applyFont="1" applyBorder="1" applyAlignment="1" applyProtection="1">
      <alignment horizontal="center" vertical="center" wrapText="1"/>
      <protection hidden="1"/>
    </xf>
    <xf numFmtId="169" fontId="2" fillId="2" borderId="2" xfId="0" applyNumberFormat="1" applyFont="1" applyFill="1" applyBorder="1" applyAlignment="1" applyProtection="1">
      <alignment horizontal="center" vertical="center" wrapText="1"/>
      <protection locked="0"/>
    </xf>
    <xf numFmtId="4" fontId="8" fillId="0" borderId="2" xfId="0" applyNumberFormat="1" applyFont="1" applyBorder="1" applyAlignment="1" applyProtection="1">
      <alignment horizontal="center" vertical="center"/>
      <protection hidden="1"/>
    </xf>
    <xf numFmtId="4" fontId="8" fillId="3" borderId="16" xfId="0" applyNumberFormat="1" applyFont="1" applyFill="1" applyBorder="1" applyAlignment="1" applyProtection="1">
      <alignment horizontal="center" vertical="center"/>
      <protection hidden="1"/>
    </xf>
    <xf numFmtId="4" fontId="8" fillId="3" borderId="45" xfId="0" applyNumberFormat="1" applyFont="1" applyFill="1" applyBorder="1" applyAlignment="1" applyProtection="1">
      <alignment horizontal="center" vertical="center"/>
      <protection hidden="1"/>
    </xf>
    <xf numFmtId="4" fontId="8" fillId="3" borderId="3" xfId="0" applyNumberFormat="1" applyFont="1" applyFill="1" applyBorder="1" applyAlignment="1" applyProtection="1">
      <alignment horizontal="center" vertical="center"/>
      <protection hidden="1"/>
    </xf>
    <xf numFmtId="4" fontId="2" fillId="0" borderId="1" xfId="0" applyNumberFormat="1" applyFont="1" applyBorder="1" applyAlignment="1" applyProtection="1">
      <alignment horizontal="center" vertical="center"/>
      <protection hidden="1"/>
    </xf>
    <xf numFmtId="4" fontId="2" fillId="0" borderId="9" xfId="0" applyNumberFormat="1" applyFont="1" applyBorder="1" applyAlignment="1" applyProtection="1">
      <alignment horizontal="center" vertical="center"/>
      <protection hidden="1"/>
    </xf>
    <xf numFmtId="0" fontId="12" fillId="0" borderId="18" xfId="0" applyFont="1" applyBorder="1" applyAlignment="1" applyProtection="1">
      <alignment horizontal="center" vertical="center" wrapText="1"/>
      <protection hidden="1"/>
    </xf>
    <xf numFmtId="0" fontId="12" fillId="0" borderId="27" xfId="0" applyFont="1" applyBorder="1" applyAlignment="1" applyProtection="1">
      <alignment horizontal="center" vertical="center" wrapText="1"/>
      <protection hidden="1"/>
    </xf>
    <xf numFmtId="0" fontId="12" fillId="0" borderId="36" xfId="0" applyFont="1" applyBorder="1" applyAlignment="1" applyProtection="1">
      <alignment horizontal="center" vertical="center" wrapText="1"/>
      <protection hidden="1"/>
    </xf>
    <xf numFmtId="164" fontId="2" fillId="2" borderId="18" xfId="0" applyNumberFormat="1" applyFont="1" applyFill="1" applyBorder="1" applyAlignment="1" applyProtection="1">
      <alignment horizontal="center" vertical="center"/>
      <protection locked="0"/>
    </xf>
    <xf numFmtId="164" fontId="2" fillId="2" borderId="19" xfId="0" applyNumberFormat="1" applyFont="1" applyFill="1" applyBorder="1" applyAlignment="1" applyProtection="1">
      <alignment horizontal="center" vertical="center"/>
      <protection locked="0"/>
    </xf>
    <xf numFmtId="164" fontId="2" fillId="2" borderId="36" xfId="0" applyNumberFormat="1" applyFont="1" applyFill="1" applyBorder="1" applyAlignment="1" applyProtection="1">
      <alignment horizontal="center" vertical="center"/>
      <protection locked="0"/>
    </xf>
    <xf numFmtId="0" fontId="11" fillId="0" borderId="8" xfId="0" applyFont="1" applyBorder="1" applyAlignment="1" applyProtection="1">
      <alignment horizontal="left" vertical="center" wrapText="1"/>
      <protection hidden="1"/>
    </xf>
    <xf numFmtId="0" fontId="11" fillId="0" borderId="1" xfId="0" applyFont="1" applyBorder="1" applyAlignment="1" applyProtection="1">
      <alignment horizontal="left" vertical="center" wrapText="1"/>
      <protection hidden="1"/>
    </xf>
    <xf numFmtId="167" fontId="2" fillId="0" borderId="1" xfId="0" applyNumberFormat="1" applyFont="1" applyBorder="1" applyAlignment="1" applyProtection="1">
      <alignment horizontal="center" vertical="center"/>
      <protection hidden="1"/>
    </xf>
    <xf numFmtId="0" fontId="13" fillId="0" borderId="1" xfId="0" applyFont="1" applyBorder="1" applyAlignment="1" applyProtection="1">
      <alignment horizontal="center" vertical="center"/>
      <protection hidden="1"/>
    </xf>
    <xf numFmtId="167" fontId="2" fillId="0" borderId="18" xfId="0" applyNumberFormat="1" applyFont="1" applyBorder="1" applyAlignment="1" applyProtection="1">
      <alignment horizontal="center" vertical="center"/>
      <protection hidden="1"/>
    </xf>
    <xf numFmtId="167" fontId="2" fillId="0" borderId="9" xfId="0" applyNumberFormat="1" applyFont="1" applyBorder="1" applyAlignment="1" applyProtection="1">
      <alignment horizontal="center" vertical="center"/>
      <protection hidden="1"/>
    </xf>
    <xf numFmtId="4" fontId="2" fillId="2" borderId="18" xfId="0" applyNumberFormat="1" applyFont="1" applyFill="1" applyBorder="1" applyAlignment="1" applyProtection="1">
      <alignment horizontal="center" vertical="center"/>
      <protection locked="0"/>
    </xf>
    <xf numFmtId="4" fontId="2" fillId="2" borderId="19" xfId="0" applyNumberFormat="1" applyFont="1" applyFill="1" applyBorder="1" applyAlignment="1" applyProtection="1">
      <alignment horizontal="center" vertical="center"/>
      <protection locked="0"/>
    </xf>
    <xf numFmtId="4" fontId="2" fillId="2" borderId="36" xfId="0" applyNumberFormat="1" applyFont="1" applyFill="1" applyBorder="1" applyAlignment="1" applyProtection="1">
      <alignment horizontal="center" vertical="center"/>
      <protection locked="0"/>
    </xf>
    <xf numFmtId="0" fontId="11" fillId="0" borderId="8" xfId="0" applyFont="1" applyBorder="1" applyAlignment="1" applyProtection="1">
      <alignment horizontal="center" vertical="center"/>
      <protection hidden="1"/>
    </xf>
    <xf numFmtId="0" fontId="11" fillId="0" borderId="1" xfId="0" applyFont="1" applyBorder="1" applyAlignment="1" applyProtection="1">
      <alignment horizontal="center" vertical="center"/>
      <protection hidden="1"/>
    </xf>
    <xf numFmtId="4" fontId="2" fillId="2" borderId="27" xfId="0" applyNumberFormat="1" applyFont="1" applyFill="1" applyBorder="1" applyAlignment="1" applyProtection="1">
      <alignment horizontal="center" vertical="center"/>
      <protection locked="0"/>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167" fontId="8" fillId="3" borderId="11" xfId="0" applyNumberFormat="1" applyFont="1" applyFill="1" applyBorder="1" applyAlignment="1" applyProtection="1">
      <alignment horizontal="center" vertical="center"/>
      <protection hidden="1"/>
    </xf>
    <xf numFmtId="0" fontId="11" fillId="0" borderId="32" xfId="0" applyFont="1" applyBorder="1" applyAlignment="1" applyProtection="1">
      <alignment horizontal="center" vertical="center"/>
      <protection hidden="1"/>
    </xf>
    <xf numFmtId="0" fontId="11" fillId="0" borderId="27" xfId="0" applyFont="1" applyBorder="1" applyAlignment="1" applyProtection="1">
      <alignment horizontal="center" vertical="center"/>
      <protection hidden="1"/>
    </xf>
    <xf numFmtId="0" fontId="11" fillId="0" borderId="19" xfId="0" applyFont="1" applyBorder="1" applyAlignment="1" applyProtection="1">
      <alignment horizontal="center" vertical="center"/>
      <protection hidden="1"/>
    </xf>
    <xf numFmtId="10" fontId="2" fillId="2" borderId="18" xfId="0" applyNumberFormat="1" applyFont="1" applyFill="1" applyBorder="1" applyAlignment="1" applyProtection="1">
      <alignment horizontal="center" vertical="center"/>
      <protection locked="0"/>
    </xf>
    <xf numFmtId="10" fontId="2" fillId="2" borderId="27" xfId="0" applyNumberFormat="1" applyFont="1" applyFill="1" applyBorder="1" applyAlignment="1" applyProtection="1">
      <alignment horizontal="center" vertical="center"/>
      <protection locked="0"/>
    </xf>
    <xf numFmtId="10" fontId="2" fillId="2" borderId="19" xfId="0" applyNumberFormat="1" applyFont="1" applyFill="1" applyBorder="1" applyAlignment="1" applyProtection="1">
      <alignment horizontal="center" vertical="center"/>
      <protection locked="0"/>
    </xf>
    <xf numFmtId="0" fontId="11" fillId="0" borderId="18" xfId="0" applyFont="1" applyBorder="1" applyAlignment="1" applyProtection="1">
      <alignment horizontal="left" vertical="center" wrapText="1"/>
      <protection hidden="1"/>
    </xf>
    <xf numFmtId="0" fontId="11" fillId="0" borderId="27" xfId="0" applyFont="1" applyBorder="1" applyAlignment="1" applyProtection="1">
      <alignment horizontal="left" vertical="center" wrapText="1"/>
      <protection hidden="1"/>
    </xf>
    <xf numFmtId="0" fontId="11" fillId="0" borderId="36" xfId="0" applyFont="1" applyBorder="1" applyAlignment="1" applyProtection="1">
      <alignment horizontal="left" vertical="center" wrapText="1"/>
      <protection hidden="1"/>
    </xf>
    <xf numFmtId="0" fontId="10" fillId="0" borderId="5" xfId="0" applyFont="1" applyBorder="1" applyAlignment="1" applyProtection="1">
      <alignment horizontal="left"/>
      <protection hidden="1"/>
    </xf>
    <xf numFmtId="0" fontId="10" fillId="0" borderId="6" xfId="0" applyFont="1" applyBorder="1" applyAlignment="1" applyProtection="1">
      <alignment horizontal="left"/>
      <protection hidden="1"/>
    </xf>
    <xf numFmtId="0" fontId="10" fillId="0" borderId="44" xfId="0" applyFont="1" applyBorder="1" applyAlignment="1" applyProtection="1">
      <alignment horizontal="left"/>
      <protection hidden="1"/>
    </xf>
    <xf numFmtId="0" fontId="10" fillId="0" borderId="7" xfId="0" applyFont="1" applyBorder="1" applyAlignment="1" applyProtection="1">
      <alignment horizontal="left"/>
      <protection hidden="1"/>
    </xf>
    <xf numFmtId="0" fontId="11" fillId="0" borderId="32" xfId="0" applyFont="1" applyBorder="1" applyAlignment="1" applyProtection="1">
      <alignment horizontal="center" vertical="center" wrapText="1"/>
      <protection hidden="1"/>
    </xf>
    <xf numFmtId="0" fontId="11" fillId="0" borderId="27" xfId="0" applyFont="1" applyBorder="1" applyAlignment="1" applyProtection="1">
      <alignment horizontal="center" vertical="center" wrapText="1"/>
      <protection hidden="1"/>
    </xf>
    <xf numFmtId="0" fontId="11" fillId="0" borderId="19" xfId="0" applyFont="1" applyBorder="1" applyAlignment="1" applyProtection="1">
      <alignment horizontal="center" vertical="center" wrapText="1"/>
      <protection hidden="1"/>
    </xf>
    <xf numFmtId="164" fontId="2" fillId="2" borderId="27" xfId="0" applyNumberFormat="1" applyFont="1" applyFill="1" applyBorder="1" applyAlignment="1" applyProtection="1">
      <alignment horizontal="center" vertical="center"/>
      <protection locked="0"/>
    </xf>
    <xf numFmtId="14" fontId="2" fillId="2" borderId="18" xfId="0" applyNumberFormat="1" applyFont="1" applyFill="1" applyBorder="1" applyAlignment="1" applyProtection="1">
      <alignment horizontal="center" vertical="center"/>
      <protection locked="0"/>
    </xf>
    <xf numFmtId="14" fontId="2" fillId="2" borderId="27" xfId="0" applyNumberFormat="1" applyFont="1" applyFill="1" applyBorder="1" applyAlignment="1" applyProtection="1">
      <alignment horizontal="center" vertical="center"/>
      <protection locked="0"/>
    </xf>
    <xf numFmtId="0" fontId="10" fillId="0" borderId="33" xfId="0" applyFont="1" applyBorder="1" applyAlignment="1" applyProtection="1">
      <alignment horizontal="left"/>
      <protection hidden="1"/>
    </xf>
    <xf numFmtId="0" fontId="10" fillId="0" borderId="34" xfId="0" applyFont="1" applyBorder="1" applyAlignment="1" applyProtection="1">
      <alignment horizontal="left"/>
      <protection hidden="1"/>
    </xf>
    <xf numFmtId="0" fontId="10" fillId="0" borderId="35" xfId="0" applyFont="1" applyBorder="1" applyAlignment="1" applyProtection="1">
      <alignment horizontal="left"/>
      <protection hidden="1"/>
    </xf>
    <xf numFmtId="0" fontId="8" fillId="0" borderId="32" xfId="0" applyFont="1" applyBorder="1" applyAlignment="1" applyProtection="1">
      <alignment horizontal="center" vertical="center"/>
      <protection hidden="1"/>
    </xf>
    <xf numFmtId="0" fontId="8" fillId="0" borderId="27" xfId="0" applyFont="1" applyBorder="1" applyAlignment="1" applyProtection="1">
      <alignment horizontal="center" vertical="center"/>
      <protection hidden="1"/>
    </xf>
    <xf numFmtId="0" fontId="8" fillId="0" borderId="36" xfId="0" applyFont="1" applyBorder="1" applyAlignment="1" applyProtection="1">
      <alignment horizontal="center" vertical="center"/>
      <protection hidden="1"/>
    </xf>
    <xf numFmtId="0" fontId="15" fillId="0" borderId="33" xfId="0" applyFont="1" applyBorder="1" applyAlignment="1" applyProtection="1">
      <alignment horizontal="center" vertical="center"/>
      <protection hidden="1"/>
    </xf>
    <xf numFmtId="0" fontId="15" fillId="0" borderId="34" xfId="0" applyFont="1" applyBorder="1" applyAlignment="1" applyProtection="1">
      <alignment horizontal="center" vertical="center"/>
      <protection hidden="1"/>
    </xf>
    <xf numFmtId="0" fontId="15" fillId="0" borderId="35" xfId="0" applyFont="1" applyBorder="1" applyAlignment="1" applyProtection="1">
      <alignment horizontal="center" vertical="center"/>
      <protection hidden="1"/>
    </xf>
    <xf numFmtId="1" fontId="2" fillId="0" borderId="1" xfId="0" applyNumberFormat="1" applyFont="1" applyBorder="1" applyAlignment="1" applyProtection="1">
      <alignment horizontal="center" vertical="center"/>
      <protection hidden="1"/>
    </xf>
    <xf numFmtId="1" fontId="2" fillId="0" borderId="9" xfId="0" applyNumberFormat="1" applyFont="1" applyBorder="1" applyAlignment="1" applyProtection="1">
      <alignment horizontal="center" vertical="center"/>
      <protection hidden="1"/>
    </xf>
    <xf numFmtId="4" fontId="2" fillId="0" borderId="18" xfId="0" applyNumberFormat="1" applyFont="1" applyBorder="1" applyAlignment="1" applyProtection="1">
      <alignment horizontal="center" vertical="center"/>
      <protection hidden="1"/>
    </xf>
    <xf numFmtId="4" fontId="2" fillId="0" borderId="19" xfId="0" applyNumberFormat="1" applyFont="1" applyBorder="1" applyAlignment="1" applyProtection="1">
      <alignment horizontal="center" vertical="center"/>
      <protection hidden="1"/>
    </xf>
    <xf numFmtId="4" fontId="2" fillId="0" borderId="36" xfId="0" applyNumberFormat="1" applyFont="1" applyBorder="1" applyAlignment="1" applyProtection="1">
      <alignment horizontal="center" vertical="center"/>
      <protection hidden="1"/>
    </xf>
    <xf numFmtId="0" fontId="10" fillId="0" borderId="8"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wrapText="1"/>
      <protection hidden="1"/>
    </xf>
    <xf numFmtId="0" fontId="11" fillId="0" borderId="8" xfId="0" applyFont="1" applyBorder="1" applyAlignment="1" applyProtection="1">
      <alignment horizontal="center" vertical="center" wrapText="1"/>
      <protection hidden="1"/>
    </xf>
    <xf numFmtId="0" fontId="11" fillId="0" borderId="1" xfId="0" applyFont="1" applyBorder="1" applyAlignment="1" applyProtection="1">
      <alignment horizontal="center" vertical="center" wrapText="1"/>
      <protection hidden="1"/>
    </xf>
    <xf numFmtId="164" fontId="2" fillId="2" borderId="1" xfId="0" applyNumberFormat="1" applyFont="1" applyFill="1" applyBorder="1" applyAlignment="1" applyProtection="1">
      <alignment horizontal="center" vertical="center"/>
      <protection locked="0"/>
    </xf>
    <xf numFmtId="0" fontId="2" fillId="0" borderId="10" xfId="0" applyFont="1" applyBorder="1" applyAlignment="1" applyProtection="1">
      <alignment horizontal="center" vertical="center" wrapText="1"/>
      <protection hidden="1"/>
    </xf>
    <xf numFmtId="0" fontId="2" fillId="0" borderId="11" xfId="0" applyFont="1" applyBorder="1" applyAlignment="1" applyProtection="1">
      <alignment horizontal="center" vertical="center" wrapText="1"/>
      <protection hidden="1"/>
    </xf>
    <xf numFmtId="4" fontId="8" fillId="3" borderId="11" xfId="0" applyNumberFormat="1" applyFont="1" applyFill="1" applyBorder="1" applyAlignment="1" applyProtection="1">
      <alignment horizontal="center" vertical="center"/>
      <protection hidden="1"/>
    </xf>
    <xf numFmtId="0" fontId="3" fillId="0" borderId="11" xfId="0" applyFont="1" applyBorder="1" applyAlignment="1" applyProtection="1">
      <alignment horizontal="center" vertical="center" wrapText="1"/>
      <protection hidden="1"/>
    </xf>
    <xf numFmtId="0" fontId="8" fillId="3" borderId="11" xfId="0" applyFont="1" applyFill="1" applyBorder="1" applyAlignment="1" applyProtection="1">
      <alignment horizontal="center" vertical="center"/>
      <protection hidden="1"/>
    </xf>
    <xf numFmtId="0" fontId="8" fillId="3" borderId="40" xfId="0" applyFont="1" applyFill="1" applyBorder="1" applyAlignment="1" applyProtection="1">
      <alignment horizontal="center" vertical="center"/>
      <protection hidden="1"/>
    </xf>
    <xf numFmtId="0" fontId="8" fillId="3" borderId="12" xfId="0" applyFont="1" applyFill="1" applyBorder="1" applyAlignment="1" applyProtection="1">
      <alignment horizontal="center" vertical="center"/>
      <protection hidden="1"/>
    </xf>
    <xf numFmtId="167" fontId="8" fillId="0" borderId="11" xfId="0" applyNumberFormat="1" applyFont="1" applyBorder="1" applyAlignment="1" applyProtection="1">
      <alignment horizontal="center" vertical="center"/>
      <protection hidden="1"/>
    </xf>
    <xf numFmtId="167" fontId="8" fillId="0" borderId="40" xfId="0" applyNumberFormat="1" applyFont="1" applyBorder="1" applyAlignment="1" applyProtection="1">
      <alignment horizontal="center" vertical="center"/>
      <protection hidden="1"/>
    </xf>
    <xf numFmtId="167" fontId="8" fillId="0" borderId="12" xfId="0" applyNumberFormat="1" applyFont="1" applyBorder="1" applyAlignment="1" applyProtection="1">
      <alignment horizontal="center" vertical="center"/>
      <protection hidden="1"/>
    </xf>
    <xf numFmtId="0" fontId="11" fillId="0" borderId="42" xfId="0" applyFont="1" applyBorder="1" applyAlignment="1" applyProtection="1">
      <alignment horizontal="center" vertical="center" wrapText="1"/>
      <protection hidden="1"/>
    </xf>
    <xf numFmtId="0" fontId="11" fillId="0" borderId="13" xfId="0" applyFont="1" applyBorder="1" applyAlignment="1" applyProtection="1">
      <alignment horizontal="center" vertical="center" wrapText="1"/>
      <protection hidden="1"/>
    </xf>
    <xf numFmtId="0" fontId="11" fillId="0" borderId="17" xfId="0" applyFont="1" applyBorder="1" applyAlignment="1" applyProtection="1">
      <alignment horizontal="center" vertical="center" wrapText="1"/>
      <protection hidden="1"/>
    </xf>
    <xf numFmtId="14" fontId="13" fillId="0" borderId="18" xfId="0" applyNumberFormat="1" applyFont="1" applyBorder="1" applyAlignment="1" applyProtection="1">
      <alignment horizontal="center"/>
      <protection hidden="1"/>
    </xf>
    <xf numFmtId="14" fontId="13" fillId="0" borderId="27" xfId="0" applyNumberFormat="1" applyFont="1" applyBorder="1" applyAlignment="1" applyProtection="1">
      <alignment horizontal="center"/>
      <protection hidden="1"/>
    </xf>
    <xf numFmtId="14" fontId="13" fillId="0" borderId="19" xfId="0" applyNumberFormat="1" applyFont="1" applyBorder="1" applyAlignment="1" applyProtection="1">
      <alignment horizontal="center"/>
      <protection hidden="1"/>
    </xf>
    <xf numFmtId="171" fontId="2" fillId="0" borderId="18" xfId="0" applyNumberFormat="1" applyFont="1" applyBorder="1" applyAlignment="1" applyProtection="1">
      <alignment horizontal="center" vertical="center"/>
      <protection hidden="1"/>
    </xf>
    <xf numFmtId="171" fontId="2" fillId="0" borderId="27" xfId="0" applyNumberFormat="1" applyFont="1" applyBorder="1" applyAlignment="1" applyProtection="1">
      <alignment horizontal="center" vertical="center"/>
      <protection hidden="1"/>
    </xf>
    <xf numFmtId="171" fontId="2" fillId="0" borderId="36" xfId="0" applyNumberFormat="1" applyFont="1" applyBorder="1" applyAlignment="1" applyProtection="1">
      <alignment horizontal="center" vertical="center"/>
      <protection hidden="1"/>
    </xf>
    <xf numFmtId="0" fontId="11" fillId="0" borderId="18" xfId="0" applyFont="1" applyBorder="1" applyAlignment="1" applyProtection="1">
      <alignment horizontal="center" vertical="center"/>
      <protection hidden="1"/>
    </xf>
    <xf numFmtId="4" fontId="13" fillId="0" borderId="1" xfId="0" applyNumberFormat="1" applyFont="1" applyBorder="1" applyAlignment="1" applyProtection="1">
      <alignment horizontal="center" vertical="center" wrapText="1"/>
      <protection hidden="1"/>
    </xf>
    <xf numFmtId="0" fontId="8" fillId="3" borderId="18" xfId="0" applyFont="1" applyFill="1" applyBorder="1" applyAlignment="1" applyProtection="1">
      <alignment horizontal="center" vertical="center"/>
      <protection hidden="1"/>
    </xf>
    <xf numFmtId="0" fontId="8" fillId="3" borderId="27" xfId="0" applyFont="1" applyFill="1" applyBorder="1" applyAlignment="1" applyProtection="1">
      <alignment horizontal="center" vertical="center"/>
      <protection hidden="1"/>
    </xf>
    <xf numFmtId="0" fontId="8" fillId="3" borderId="36" xfId="0" applyFont="1" applyFill="1" applyBorder="1" applyAlignment="1" applyProtection="1">
      <alignment horizontal="center" vertical="center"/>
      <protection hidden="1"/>
    </xf>
    <xf numFmtId="167" fontId="2" fillId="0" borderId="27" xfId="0" applyNumberFormat="1" applyFont="1" applyBorder="1" applyAlignment="1" applyProtection="1">
      <alignment horizontal="center" vertical="center"/>
      <protection hidden="1"/>
    </xf>
    <xf numFmtId="167" fontId="2" fillId="0" borderId="19" xfId="0" applyNumberFormat="1" applyFont="1" applyBorder="1" applyAlignment="1" applyProtection="1">
      <alignment horizontal="center" vertical="center"/>
      <protection hidden="1"/>
    </xf>
    <xf numFmtId="0" fontId="8" fillId="0" borderId="1" xfId="0" applyFont="1" applyBorder="1" applyAlignment="1" applyProtection="1">
      <alignment horizontal="center" vertical="center"/>
      <protection hidden="1"/>
    </xf>
    <xf numFmtId="10" fontId="8" fillId="2" borderId="1" xfId="0" applyNumberFormat="1" applyFont="1" applyFill="1" applyBorder="1" applyAlignment="1" applyProtection="1">
      <alignment horizontal="center" vertical="center"/>
      <protection locked="0"/>
    </xf>
    <xf numFmtId="10" fontId="8" fillId="2" borderId="18" xfId="0" applyNumberFormat="1" applyFont="1" applyFill="1" applyBorder="1" applyAlignment="1" applyProtection="1">
      <alignment horizontal="center" vertical="center"/>
      <protection locked="0"/>
    </xf>
    <xf numFmtId="10" fontId="8" fillId="2" borderId="9" xfId="0" applyNumberFormat="1" applyFont="1" applyFill="1" applyBorder="1" applyAlignment="1" applyProtection="1">
      <alignment horizontal="center" vertical="center"/>
      <protection locked="0"/>
    </xf>
    <xf numFmtId="164" fontId="11" fillId="0" borderId="40" xfId="0" applyNumberFormat="1" applyFont="1" applyBorder="1" applyAlignment="1" applyProtection="1">
      <alignment horizontal="center" vertical="center" wrapText="1"/>
      <protection hidden="1"/>
    </xf>
    <xf numFmtId="164" fontId="11" fillId="0" borderId="38" xfId="0" applyNumberFormat="1" applyFont="1" applyBorder="1" applyAlignment="1" applyProtection="1">
      <alignment horizontal="center" vertical="center" wrapText="1"/>
      <protection hidden="1"/>
    </xf>
    <xf numFmtId="164" fontId="11" fillId="0" borderId="39" xfId="0" applyNumberFormat="1" applyFont="1" applyBorder="1" applyAlignment="1" applyProtection="1">
      <alignment horizontal="center" vertical="center" wrapText="1"/>
      <protection hidden="1"/>
    </xf>
    <xf numFmtId="4" fontId="2" fillId="0" borderId="27" xfId="0" applyNumberFormat="1" applyFont="1" applyBorder="1" applyAlignment="1" applyProtection="1">
      <alignment horizontal="center" vertical="center"/>
      <protection hidden="1"/>
    </xf>
    <xf numFmtId="0" fontId="2" fillId="0" borderId="21" xfId="0" applyFont="1" applyBorder="1" applyAlignment="1" applyProtection="1">
      <alignment horizontal="center"/>
      <protection hidden="1"/>
    </xf>
    <xf numFmtId="0" fontId="2" fillId="0" borderId="37" xfId="0" applyFont="1" applyBorder="1" applyAlignment="1" applyProtection="1">
      <alignment horizontal="center"/>
      <protection hidden="1"/>
    </xf>
    <xf numFmtId="4" fontId="2" fillId="0" borderId="20" xfId="0" applyNumberFormat="1" applyFont="1" applyBorder="1" applyAlignment="1" applyProtection="1">
      <alignment horizontal="center" vertical="center"/>
      <protection hidden="1"/>
    </xf>
    <xf numFmtId="4" fontId="2" fillId="0" borderId="28" xfId="0" applyNumberFormat="1" applyFont="1" applyBorder="1" applyAlignment="1" applyProtection="1">
      <alignment horizontal="center" vertical="center"/>
      <protection hidden="1"/>
    </xf>
    <xf numFmtId="0" fontId="2" fillId="2" borderId="1" xfId="0" applyFont="1" applyFill="1" applyBorder="1" applyAlignment="1" applyProtection="1">
      <alignment horizontal="center" vertical="center"/>
      <protection locked="0"/>
    </xf>
    <xf numFmtId="4" fontId="2" fillId="2" borderId="1" xfId="0" applyNumberFormat="1" applyFont="1" applyFill="1" applyBorder="1" applyAlignment="1" applyProtection="1">
      <alignment horizontal="center"/>
      <protection locked="0"/>
    </xf>
    <xf numFmtId="0" fontId="11" fillId="0" borderId="32" xfId="0" applyFont="1" applyBorder="1" applyAlignment="1" applyProtection="1">
      <alignment horizontal="center"/>
      <protection hidden="1"/>
    </xf>
    <xf numFmtId="0" fontId="10" fillId="0" borderId="27" xfId="0" applyFont="1" applyBorder="1" applyAlignment="1" applyProtection="1">
      <alignment horizontal="center"/>
      <protection hidden="1"/>
    </xf>
    <xf numFmtId="0" fontId="10" fillId="0" borderId="19" xfId="0" applyFont="1" applyBorder="1" applyAlignment="1" applyProtection="1">
      <alignment horizontal="center"/>
      <protection hidden="1"/>
    </xf>
    <xf numFmtId="4" fontId="2" fillId="2" borderId="9" xfId="0" applyNumberFormat="1" applyFont="1" applyFill="1" applyBorder="1" applyAlignment="1" applyProtection="1">
      <alignment horizontal="center"/>
      <protection locked="0"/>
    </xf>
    <xf numFmtId="10" fontId="2" fillId="2" borderId="36" xfId="0" applyNumberFormat="1" applyFont="1" applyFill="1" applyBorder="1" applyAlignment="1" applyProtection="1">
      <alignment horizontal="center" vertical="center"/>
      <protection locked="0"/>
    </xf>
    <xf numFmtId="0" fontId="2" fillId="2" borderId="18" xfId="0" applyFont="1" applyFill="1" applyBorder="1" applyAlignment="1" applyProtection="1">
      <alignment horizontal="left" vertical="center"/>
      <protection locked="0"/>
    </xf>
    <xf numFmtId="0" fontId="2" fillId="2" borderId="27" xfId="0" applyFont="1" applyFill="1" applyBorder="1" applyAlignment="1" applyProtection="1">
      <alignment horizontal="left" vertical="center"/>
      <protection locked="0"/>
    </xf>
    <xf numFmtId="0" fontId="2" fillId="2" borderId="19" xfId="0" applyFont="1" applyFill="1" applyBorder="1" applyAlignment="1" applyProtection="1">
      <alignment horizontal="left" vertical="center"/>
      <protection locked="0"/>
    </xf>
    <xf numFmtId="4" fontId="2" fillId="2" borderId="18" xfId="0" applyNumberFormat="1" applyFont="1" applyFill="1" applyBorder="1" applyAlignment="1" applyProtection="1">
      <alignment horizontal="center"/>
      <protection locked="0"/>
    </xf>
    <xf numFmtId="4" fontId="2" fillId="2" borderId="19" xfId="0" applyNumberFormat="1" applyFont="1" applyFill="1" applyBorder="1" applyAlignment="1" applyProtection="1">
      <alignment horizontal="center"/>
      <protection locked="0"/>
    </xf>
    <xf numFmtId="0" fontId="10" fillId="0" borderId="18" xfId="0" applyFont="1" applyBorder="1" applyAlignment="1" applyProtection="1">
      <alignment horizontal="left" vertical="center"/>
      <protection hidden="1"/>
    </xf>
    <xf numFmtId="0" fontId="10" fillId="0" borderId="27" xfId="0" applyFont="1" applyBorder="1" applyAlignment="1" applyProtection="1">
      <alignment horizontal="left" vertical="center"/>
      <protection hidden="1"/>
    </xf>
    <xf numFmtId="0" fontId="10" fillId="0" borderId="19" xfId="0" applyFont="1" applyBorder="1" applyAlignment="1" applyProtection="1">
      <alignment horizontal="left" vertical="center"/>
      <protection hidden="1"/>
    </xf>
    <xf numFmtId="0" fontId="11" fillId="0" borderId="18" xfId="0" applyFont="1" applyBorder="1" applyAlignment="1" applyProtection="1">
      <alignment horizontal="center"/>
      <protection hidden="1"/>
    </xf>
    <xf numFmtId="0" fontId="11" fillId="0" borderId="19" xfId="0" applyFont="1" applyBorder="1" applyAlignment="1" applyProtection="1">
      <alignment horizontal="center"/>
      <protection hidden="1"/>
    </xf>
    <xf numFmtId="164" fontId="2" fillId="0" borderId="18" xfId="0" applyNumberFormat="1" applyFont="1" applyBorder="1" applyAlignment="1" applyProtection="1">
      <alignment horizontal="left" vertical="center"/>
      <protection hidden="1"/>
    </xf>
    <xf numFmtId="164" fontId="2" fillId="0" borderId="27" xfId="0" applyNumberFormat="1" applyFont="1" applyBorder="1" applyAlignment="1" applyProtection="1">
      <alignment horizontal="left" vertical="center"/>
      <protection hidden="1"/>
    </xf>
    <xf numFmtId="164" fontId="2" fillId="0" borderId="36" xfId="0" applyNumberFormat="1" applyFont="1" applyBorder="1" applyAlignment="1" applyProtection="1">
      <alignment horizontal="left" vertical="center"/>
      <protection hidden="1"/>
    </xf>
    <xf numFmtId="0" fontId="10" fillId="0" borderId="25" xfId="0" applyFont="1" applyBorder="1" applyAlignment="1" applyProtection="1">
      <alignment horizontal="center"/>
      <protection hidden="1"/>
    </xf>
    <xf numFmtId="0" fontId="22" fillId="0" borderId="19" xfId="0" applyFont="1" applyBorder="1" applyAlignment="1" applyProtection="1">
      <alignment horizontal="center" wrapText="1"/>
      <protection hidden="1"/>
    </xf>
    <xf numFmtId="0" fontId="22" fillId="0" borderId="19" xfId="0" applyFont="1" applyBorder="1" applyAlignment="1" applyProtection="1">
      <alignment horizontal="center"/>
      <protection hidden="1"/>
    </xf>
    <xf numFmtId="0" fontId="10" fillId="0" borderId="18" xfId="0" applyFont="1" applyBorder="1" applyAlignment="1" applyProtection="1">
      <alignment horizontal="center"/>
      <protection hidden="1"/>
    </xf>
    <xf numFmtId="0" fontId="10" fillId="0" borderId="36" xfId="0" applyFont="1" applyBorder="1" applyAlignment="1" applyProtection="1">
      <alignment horizontal="center"/>
      <protection hidden="1"/>
    </xf>
    <xf numFmtId="0" fontId="2" fillId="2" borderId="9" xfId="0" applyFont="1" applyFill="1" applyBorder="1" applyAlignment="1" applyProtection="1">
      <alignment horizontal="center" vertical="center"/>
      <protection locked="0"/>
    </xf>
    <xf numFmtId="164" fontId="2" fillId="0" borderId="27" xfId="0" applyNumberFormat="1" applyFont="1" applyFill="1" applyBorder="1" applyAlignment="1" applyProtection="1">
      <alignment horizontal="left" vertical="center"/>
      <protection hidden="1"/>
    </xf>
    <xf numFmtId="164" fontId="2" fillId="0" borderId="36" xfId="0" applyNumberFormat="1" applyFont="1" applyFill="1" applyBorder="1" applyAlignment="1" applyProtection="1">
      <alignment horizontal="left" vertical="center"/>
      <protection hidden="1"/>
    </xf>
    <xf numFmtId="14" fontId="2" fillId="2" borderId="19" xfId="0" applyNumberFormat="1" applyFont="1" applyFill="1" applyBorder="1" applyAlignment="1" applyProtection="1">
      <alignment horizontal="center" vertical="center"/>
      <protection locked="0"/>
    </xf>
    <xf numFmtId="0" fontId="2" fillId="2" borderId="18"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0" fontId="2" fillId="2" borderId="19" xfId="0" applyFont="1" applyFill="1" applyBorder="1" applyAlignment="1" applyProtection="1">
      <alignment horizontal="center" vertical="center"/>
      <protection locked="0"/>
    </xf>
    <xf numFmtId="167" fontId="8" fillId="3" borderId="40" xfId="0" applyNumberFormat="1" applyFont="1" applyFill="1" applyBorder="1" applyAlignment="1" applyProtection="1">
      <alignment horizontal="center" vertical="center"/>
      <protection hidden="1"/>
    </xf>
    <xf numFmtId="167" fontId="8" fillId="3" borderId="38" xfId="0" applyNumberFormat="1" applyFont="1" applyFill="1" applyBorder="1" applyAlignment="1" applyProtection="1">
      <alignment horizontal="center" vertical="center"/>
      <protection hidden="1"/>
    </xf>
    <xf numFmtId="167" fontId="8" fillId="3" borderId="41" xfId="0" applyNumberFormat="1" applyFont="1" applyFill="1" applyBorder="1" applyAlignment="1" applyProtection="1">
      <alignment horizontal="center" vertical="center"/>
      <protection hidden="1"/>
    </xf>
    <xf numFmtId="0" fontId="10" fillId="0" borderId="20" xfId="0" applyFont="1" applyBorder="1" applyAlignment="1" applyProtection="1">
      <alignment horizontal="left" vertical="center" wrapText="1"/>
      <protection hidden="1"/>
    </xf>
    <xf numFmtId="0" fontId="10" fillId="0" borderId="21" xfId="0" applyFont="1" applyBorder="1" applyAlignment="1" applyProtection="1">
      <alignment horizontal="left" vertical="center"/>
      <protection hidden="1"/>
    </xf>
    <xf numFmtId="0" fontId="10" fillId="0" borderId="37" xfId="0" applyFont="1" applyBorder="1" applyAlignment="1" applyProtection="1">
      <alignment horizontal="left" vertical="center"/>
      <protection hidden="1"/>
    </xf>
    <xf numFmtId="0" fontId="10" fillId="0" borderId="24" xfId="0" applyFont="1" applyBorder="1" applyAlignment="1" applyProtection="1">
      <alignment horizontal="left" vertical="center"/>
      <protection hidden="1"/>
    </xf>
    <xf numFmtId="0" fontId="10" fillId="0" borderId="25" xfId="0" applyFont="1" applyBorder="1" applyAlignment="1" applyProtection="1">
      <alignment horizontal="left" vertical="center"/>
      <protection hidden="1"/>
    </xf>
    <xf numFmtId="0" fontId="10" fillId="0" borderId="43" xfId="0" applyFont="1" applyBorder="1" applyAlignment="1" applyProtection="1">
      <alignment horizontal="left" vertical="center"/>
      <protection hidden="1"/>
    </xf>
    <xf numFmtId="0" fontId="22" fillId="0" borderId="1" xfId="0" applyFont="1" applyBorder="1" applyAlignment="1" applyProtection="1">
      <alignment horizontal="center" wrapText="1"/>
      <protection hidden="1"/>
    </xf>
    <xf numFmtId="0" fontId="22" fillId="0" borderId="1" xfId="0" applyFont="1" applyBorder="1" applyAlignment="1" applyProtection="1">
      <alignment horizontal="center"/>
      <protection hidden="1"/>
    </xf>
    <xf numFmtId="0" fontId="1" fillId="0" borderId="1" xfId="0" applyFont="1" applyBorder="1" applyAlignment="1" applyProtection="1">
      <alignment horizontal="center" vertical="center"/>
    </xf>
  </cellXfs>
  <cellStyles count="2">
    <cellStyle name="Normal" xfId="0" builtinId="0"/>
    <cellStyle name="Normal 3 2" xfId="1" xr:uid="{00000000-0005-0000-0000-00000100000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1E30D-1986-4F17-958B-04F38C2FC92F}">
  <dimension ref="A1:K25"/>
  <sheetViews>
    <sheetView workbookViewId="0">
      <selection activeCell="B2" sqref="B2"/>
    </sheetView>
  </sheetViews>
  <sheetFormatPr defaultRowHeight="15" x14ac:dyDescent="0.25"/>
  <cols>
    <col min="1" max="1" width="34.42578125" style="94" customWidth="1"/>
    <col min="2" max="2" width="9" style="94" customWidth="1"/>
    <col min="3" max="3" width="15.42578125" style="94" bestFit="1" customWidth="1"/>
    <col min="4" max="4" width="11.7109375" style="94" bestFit="1" customWidth="1"/>
    <col min="5" max="5" width="12.7109375" style="94" bestFit="1" customWidth="1"/>
    <col min="6" max="6" width="10.7109375" style="94" bestFit="1" customWidth="1"/>
    <col min="7" max="9" width="9.140625" style="94"/>
    <col min="10" max="11" width="7.7109375" style="94" customWidth="1"/>
    <col min="12" max="16384" width="9.140625" style="94"/>
  </cols>
  <sheetData>
    <row r="1" spans="1:11" ht="15.75" thickBot="1" x14ac:dyDescent="0.3"/>
    <row r="2" spans="1:11" ht="16.5" thickBot="1" x14ac:dyDescent="0.3">
      <c r="A2" s="95" t="s">
        <v>288</v>
      </c>
      <c r="B2" s="104" t="s">
        <v>3</v>
      </c>
      <c r="C2" s="96" t="s">
        <v>291</v>
      </c>
      <c r="D2" s="97"/>
      <c r="E2" s="97"/>
      <c r="K2" s="98"/>
    </row>
    <row r="3" spans="1:11" ht="15.75" x14ac:dyDescent="0.25">
      <c r="A3" s="99" t="s">
        <v>289</v>
      </c>
      <c r="B3" s="105" t="s">
        <v>9</v>
      </c>
      <c r="C3" s="106">
        <v>0.5</v>
      </c>
      <c r="D3" s="97"/>
      <c r="E3" s="97"/>
      <c r="K3" s="98"/>
    </row>
    <row r="4" spans="1:11" ht="15.75" x14ac:dyDescent="0.25">
      <c r="A4" s="100" t="s">
        <v>290</v>
      </c>
      <c r="B4" s="15" t="s">
        <v>245</v>
      </c>
      <c r="C4" s="107">
        <v>0.5</v>
      </c>
      <c r="D4" s="97"/>
      <c r="E4" s="97"/>
      <c r="K4" s="98"/>
    </row>
    <row r="5" spans="1:11" ht="15.75" x14ac:dyDescent="0.25">
      <c r="A5" s="100" t="s">
        <v>290</v>
      </c>
      <c r="B5" s="15"/>
      <c r="C5" s="107"/>
      <c r="D5" s="97"/>
      <c r="E5" s="97"/>
      <c r="K5" s="98"/>
    </row>
    <row r="6" spans="1:11" ht="15.75" x14ac:dyDescent="0.25">
      <c r="A6" s="100" t="s">
        <v>290</v>
      </c>
      <c r="B6" s="15"/>
      <c r="C6" s="107"/>
      <c r="D6" s="97"/>
      <c r="E6" s="97"/>
      <c r="K6" s="98"/>
    </row>
    <row r="7" spans="1:11" ht="15.75" x14ac:dyDescent="0.25">
      <c r="A7" s="100" t="s">
        <v>290</v>
      </c>
      <c r="B7" s="15"/>
      <c r="C7" s="107"/>
      <c r="D7" s="97"/>
      <c r="E7" s="97"/>
      <c r="K7" s="98"/>
    </row>
    <row r="8" spans="1:11" ht="15.75" x14ac:dyDescent="0.25">
      <c r="A8" s="100" t="s">
        <v>293</v>
      </c>
      <c r="B8" s="101" t="str">
        <f>IF(
AND(
VLOOKUP(B3,$B$11:$C$24,2,FALSE)&gt;=0.6*VLOOKUP(B2,$B$11:$C$24,2,FALSE),
VLOOKUP(B4,$B$11:$C$24,2,FALSE)&gt;=0.1*VLOOKUP(B2,$B$11:$C$24,2,FALSE),
IF(B5="",TRUE,VLOOKUP(B5,$B$11:$C$24,2,FALSE)&gt;=0.1*VLOOKUP(B2,$B$11:$C$24,2,FALSE)),
IF(B6="",TRUE,VLOOKUP(B6,$B$11:$C$24,2,FALSE)&gt;=0.1*VLOOKUP(B2,$B$11:$C$24,2,FALSE)),
IF(B7="",TRUE,VLOOKUP(B7,$B$11:$C$24,2,FALSE)&gt;=0.1*VLOOKUP(B2,$B$11:$C$24,2,FALSE))
),
"YETERLİ",
"YETERSİZ"
)</f>
        <v>YETERSİZ</v>
      </c>
      <c r="C8" s="102" t="s">
        <v>294</v>
      </c>
      <c r="D8" s="97"/>
      <c r="E8" s="97"/>
      <c r="K8" s="98"/>
    </row>
    <row r="9" spans="1:11" ht="15.75" x14ac:dyDescent="0.25">
      <c r="A9" s="100" t="s">
        <v>292</v>
      </c>
      <c r="B9" s="101" t="str">
        <f t="array" ref="B9">INDEX($B$11:$B$24,
MATCH(
MAX(
(IF(
(VLOOKUP($B$3,$B$11:$C$24,2,FALSE)&gt;=0.6*$C$11:$C$24)*
(VLOOKUP($B$4,$B$11:$C$24,2,FALSE)&gt;=0.1*$C$11:$C$24)*
(IF($B$5="",1,VLOOKUP($B$5,$B$11:$C$24,2,FALSE)&gt;=0.1*$C$11:$C$24))*
(IF($B$6="",1,VLOOKUP($B$6,$B$11:$C$24,2,FALSE)&gt;=0.1*$C$11:$C$24))*
(IF($B$7="",1,VLOOKUP($B$7,$B$11:$C$24,2,FALSE)&gt;=0.1*$C$11:$C$24)),
$C$11:$C$24
))
),
$C$11:$C$24,
0
)
)</f>
        <v>F</v>
      </c>
      <c r="C9" s="102">
        <f>SUM(C3:C7)</f>
        <v>1</v>
      </c>
      <c r="D9" s="97"/>
      <c r="E9" s="97"/>
      <c r="K9" s="98"/>
    </row>
    <row r="10" spans="1:11" ht="15.75" x14ac:dyDescent="0.25">
      <c r="K10" s="98"/>
    </row>
    <row r="11" spans="1:11" ht="15.75" hidden="1" x14ac:dyDescent="0.25">
      <c r="A11" s="98"/>
      <c r="B11" s="25" t="s">
        <v>42</v>
      </c>
      <c r="C11" s="103">
        <f>Yeterlikler!B8</f>
        <v>2476500000</v>
      </c>
      <c r="K11" s="98"/>
    </row>
    <row r="12" spans="1:11" ht="15.75" hidden="1" x14ac:dyDescent="0.25">
      <c r="A12" s="98"/>
      <c r="B12" s="25" t="s">
        <v>43</v>
      </c>
      <c r="C12" s="103">
        <f>Yeterlikler!B9</f>
        <v>1733550000</v>
      </c>
      <c r="K12" s="98"/>
    </row>
    <row r="13" spans="1:11" ht="15.75" hidden="1" x14ac:dyDescent="0.25">
      <c r="A13" s="98"/>
      <c r="B13" s="25" t="s">
        <v>44</v>
      </c>
      <c r="C13" s="103">
        <f>Yeterlikler!B10</f>
        <v>1485900000</v>
      </c>
      <c r="K13" s="98"/>
    </row>
    <row r="14" spans="1:11" ht="15.75" hidden="1" x14ac:dyDescent="0.25">
      <c r="A14" s="98"/>
      <c r="B14" s="25" t="s">
        <v>47</v>
      </c>
      <c r="C14" s="103">
        <f>Yeterlikler!B11</f>
        <v>1238250000</v>
      </c>
      <c r="K14" s="98"/>
    </row>
    <row r="15" spans="1:11" ht="15.75" hidden="1" x14ac:dyDescent="0.25">
      <c r="A15" s="98"/>
      <c r="B15" s="25" t="s">
        <v>48</v>
      </c>
      <c r="C15" s="103">
        <f>Yeterlikler!B12</f>
        <v>1031875000</v>
      </c>
      <c r="K15" s="98"/>
    </row>
    <row r="16" spans="1:11" ht="15.75" hidden="1" x14ac:dyDescent="0.25">
      <c r="A16" s="98"/>
      <c r="B16" s="25" t="s">
        <v>49</v>
      </c>
      <c r="C16" s="103">
        <f>Yeterlikler!B13</f>
        <v>825500000</v>
      </c>
      <c r="K16" s="50"/>
    </row>
    <row r="17" spans="1:3" ht="15.75" hidden="1" x14ac:dyDescent="0.25">
      <c r="A17" s="98"/>
      <c r="B17" s="25" t="s">
        <v>33</v>
      </c>
      <c r="C17" s="103">
        <f>Yeterlikler!B14</f>
        <v>619125000</v>
      </c>
    </row>
    <row r="18" spans="1:3" ht="15.75" hidden="1" x14ac:dyDescent="0.25">
      <c r="A18" s="98"/>
      <c r="B18" s="25" t="s">
        <v>1</v>
      </c>
      <c r="C18" s="103">
        <f>Yeterlikler!B15</f>
        <v>412750000</v>
      </c>
    </row>
    <row r="19" spans="1:3" ht="15.75" hidden="1" x14ac:dyDescent="0.25">
      <c r="A19" s="98"/>
      <c r="B19" s="25" t="s">
        <v>3</v>
      </c>
      <c r="C19" s="103">
        <f>Yeterlikler!B16</f>
        <v>247650000</v>
      </c>
    </row>
    <row r="20" spans="1:3" ht="15.75" hidden="1" x14ac:dyDescent="0.25">
      <c r="A20" s="98"/>
      <c r="B20" s="25" t="s">
        <v>6</v>
      </c>
      <c r="C20" s="103">
        <f>Yeterlikler!B17</f>
        <v>123825000</v>
      </c>
    </row>
    <row r="21" spans="1:3" ht="15.75" hidden="1" x14ac:dyDescent="0.25">
      <c r="A21" s="98"/>
      <c r="B21" s="25" t="s">
        <v>5</v>
      </c>
      <c r="C21" s="103">
        <f>Yeterlikler!B18</f>
        <v>105251250</v>
      </c>
    </row>
    <row r="22" spans="1:3" ht="15.75" hidden="1" x14ac:dyDescent="0.25">
      <c r="A22" s="98"/>
      <c r="B22" s="25" t="s">
        <v>9</v>
      </c>
      <c r="C22" s="103">
        <f>Yeterlikler!B19</f>
        <v>86677500</v>
      </c>
    </row>
    <row r="23" spans="1:3" ht="15.75" hidden="1" x14ac:dyDescent="0.25">
      <c r="A23" s="98"/>
      <c r="B23" s="25" t="s">
        <v>10</v>
      </c>
      <c r="C23" s="103">
        <f>Yeterlikler!B20</f>
        <v>61912500</v>
      </c>
    </row>
    <row r="24" spans="1:3" ht="15.75" hidden="1" x14ac:dyDescent="0.25">
      <c r="A24" s="50"/>
      <c r="B24" s="25" t="s">
        <v>245</v>
      </c>
      <c r="C24" s="103">
        <f>Yeterlikler!C21*3/5</f>
        <v>26533928.571428571</v>
      </c>
    </row>
    <row r="25" spans="1:3" hidden="1" x14ac:dyDescent="0.25"/>
  </sheetData>
  <sheetProtection algorithmName="SHA-512" hashValue="uAxgDcB+KresctMT8zmA116LUSZkER6qM53fA3Jq3F8K/mBlvZCaegyqJ1w5415lJlbX6PUq5DvZxrM73qtLrg==" saltValue="ojvAJImc76r8mLdOdRmwIw==" spinCount="100000" sheet="1" objects="1" scenarios="1"/>
  <phoneticPr fontId="29" type="noConversion"/>
  <conditionalFormatting sqref="C3:C7">
    <cfRule type="expression" dxfId="1" priority="1">
      <formula>VEYA(SUM($C$3:$C$7)&lt;&gt;1, COUNTA($C$3:$C$7)&lt;2, $C$3&lt;MAX($C$4:$C$7))</formula>
    </cfRule>
  </conditionalFormatting>
  <conditionalFormatting sqref="C5:C7">
    <cfRule type="expression" dxfId="0" priority="2">
      <formula>VEYA(SUM($C$3:$C$7)&lt;&gt;1, COUNTA($C$3:$C$7)&lt;2, $C$3&lt;MAX($C$4:$C$7))</formula>
    </cfRule>
  </conditionalFormatting>
  <dataValidations count="2">
    <dataValidation type="list" allowBlank="1" showInputMessage="1" showErrorMessage="1" sqref="B2:B7" xr:uid="{77C2C376-B1C5-4021-9D92-2F59A8EB186A}">
      <formula1>$B$11:$B$24</formula1>
    </dataValidation>
    <dataValidation type="custom" allowBlank="1" showInputMessage="1" showErrorMessage="1" sqref="C3:C7" xr:uid="{A8C762C5-D95A-4A79-9FE5-6AD505B87D1F}">
      <formula1>AND(SUM($C$3:$C$7)&lt;=1, COUNTA($C$3:$C$7)&lt;=5, $C$3&gt;=MAX($C$4:$C$7))</formula1>
    </dataValidation>
  </dataValidations>
  <pageMargins left="0.7" right="0.7" top="0.75" bottom="0.75" header="0.3" footer="0.3"/>
  <pageSetup paperSize="9" orientation="portrait" r:id="rId1"/>
  <ignoredErrors>
    <ignoredError sqref="C11:C14 C15:C24"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8"/>
  <sheetViews>
    <sheetView workbookViewId="0">
      <selection activeCell="B1" sqref="B1"/>
    </sheetView>
  </sheetViews>
  <sheetFormatPr defaultRowHeight="15" x14ac:dyDescent="0.25"/>
  <cols>
    <col min="1" max="1" width="30" customWidth="1"/>
    <col min="2" max="2" width="13.42578125" bestFit="1" customWidth="1"/>
    <col min="3" max="3" width="17.28515625" customWidth="1"/>
    <col min="4" max="4" width="3.28515625" customWidth="1"/>
    <col min="5" max="5" width="12.28515625" customWidth="1"/>
  </cols>
  <sheetData>
    <row r="1" spans="1:7" ht="18" customHeight="1" x14ac:dyDescent="0.25">
      <c r="A1" s="1" t="s">
        <v>0</v>
      </c>
      <c r="B1" s="14">
        <v>43929</v>
      </c>
      <c r="C1" s="168" t="s">
        <v>299</v>
      </c>
      <c r="D1" s="169"/>
      <c r="E1" s="169"/>
      <c r="F1" s="169"/>
      <c r="G1" s="170"/>
    </row>
    <row r="2" spans="1:7" ht="18" customHeight="1" x14ac:dyDescent="0.25">
      <c r="A2" s="1" t="s">
        <v>2</v>
      </c>
      <c r="B2" s="14">
        <f ca="1">TODAY()</f>
        <v>46071</v>
      </c>
      <c r="C2" s="168"/>
      <c r="D2" s="169"/>
      <c r="E2" s="169"/>
      <c r="F2" s="169"/>
      <c r="G2" s="170"/>
    </row>
    <row r="3" spans="1:7" ht="18" customHeight="1" x14ac:dyDescent="0.25">
      <c r="A3" s="1" t="s">
        <v>4</v>
      </c>
      <c r="B3" s="15" t="s">
        <v>9</v>
      </c>
      <c r="C3" s="168"/>
      <c r="D3" s="169"/>
      <c r="E3" s="169"/>
      <c r="F3" s="169"/>
      <c r="G3" s="170"/>
    </row>
    <row r="4" spans="1:7" ht="18" customHeight="1" x14ac:dyDescent="0.25">
      <c r="A4" s="1" t="s">
        <v>7</v>
      </c>
      <c r="B4" s="21">
        <f>VLOOKUP(B3,B10:C15,2,0)/Yeterlikler!F4</f>
        <v>12.6</v>
      </c>
      <c r="C4" s="168"/>
      <c r="D4" s="169"/>
      <c r="E4" s="169"/>
      <c r="F4" s="169"/>
      <c r="G4" s="170"/>
    </row>
    <row r="5" spans="1:7" ht="18" customHeight="1" x14ac:dyDescent="0.25">
      <c r="A5" s="1" t="s">
        <v>8</v>
      </c>
      <c r="B5" s="22">
        <f ca="1">(B2-B1)/365</f>
        <v>5.8684931506849312</v>
      </c>
      <c r="C5" s="168"/>
      <c r="D5" s="169"/>
      <c r="E5" s="169"/>
      <c r="F5" s="169"/>
      <c r="G5" s="170"/>
    </row>
    <row r="6" spans="1:7" ht="31.5" customHeight="1" x14ac:dyDescent="0.25">
      <c r="A6" s="18" t="s">
        <v>284</v>
      </c>
      <c r="B6" s="23">
        <f ca="1">(B2-B1)/365*Yeterlikler!F4</f>
        <v>40370342.465753421</v>
      </c>
      <c r="C6" s="168"/>
      <c r="D6" s="169"/>
      <c r="E6" s="169"/>
      <c r="F6" s="169"/>
      <c r="G6" s="170"/>
    </row>
    <row r="7" spans="1:7" x14ac:dyDescent="0.25">
      <c r="A7" s="1" t="s">
        <v>11</v>
      </c>
      <c r="B7" s="24" t="str">
        <f ca="1">IF(B6&gt;=VLOOKUP(B3,B10:C15,2,0),"YETERLİ","YETERLİ DEĞİL")</f>
        <v>YETERLİ DEĞİL</v>
      </c>
      <c r="C7" s="171" t="s">
        <v>283</v>
      </c>
      <c r="D7" s="172"/>
      <c r="E7" s="172"/>
      <c r="F7" s="172"/>
      <c r="G7" s="173"/>
    </row>
    <row r="8" spans="1:7" x14ac:dyDescent="0.25">
      <c r="A8" s="1" t="s">
        <v>12</v>
      </c>
      <c r="B8" s="24" t="str">
        <f ca="1">IFERROR(VLOOKUP(A16,$A$10:$C$15,2,0),"H")</f>
        <v>H</v>
      </c>
      <c r="C8" s="174"/>
      <c r="D8" s="172"/>
      <c r="E8" s="172"/>
      <c r="F8" s="172"/>
      <c r="G8" s="173"/>
    </row>
    <row r="9" spans="1:7" x14ac:dyDescent="0.25">
      <c r="A9" s="1" t="s">
        <v>13</v>
      </c>
      <c r="B9" s="24" t="str">
        <f ca="1">IF(OR(B8=B10,B8=B11,B8=B12,B8=B13)*AND(B3&lt;&gt;B14,B3&lt;&gt;B15),"GEREKLİ","GEREKLİ DEĞİL")</f>
        <v>GEREKLİ DEĞİL</v>
      </c>
      <c r="C9" s="174"/>
      <c r="D9" s="172"/>
      <c r="E9" s="172"/>
      <c r="F9" s="172"/>
      <c r="G9" s="173"/>
    </row>
    <row r="10" spans="1:7" hidden="1" x14ac:dyDescent="0.25">
      <c r="A10" s="25">
        <f t="shared" ref="A10:A15" ca="1" si="0">IF($B$6&gt;=C10,1,0)</f>
        <v>0</v>
      </c>
      <c r="B10" s="89" t="s">
        <v>1</v>
      </c>
      <c r="C10" s="88">
        <f>Yeterlikler!B15</f>
        <v>412750000</v>
      </c>
      <c r="D10" s="2"/>
      <c r="E10" s="2"/>
    </row>
    <row r="11" spans="1:7" hidden="1" x14ac:dyDescent="0.25">
      <c r="A11" s="25">
        <f t="shared" ca="1" si="0"/>
        <v>0</v>
      </c>
      <c r="B11" s="25" t="s">
        <v>3</v>
      </c>
      <c r="C11" s="88">
        <f>Yeterlikler!B16</f>
        <v>247650000</v>
      </c>
      <c r="D11" s="2"/>
      <c r="E11" s="2"/>
    </row>
    <row r="12" spans="1:7" hidden="1" x14ac:dyDescent="0.25">
      <c r="A12" s="25">
        <f t="shared" ca="1" si="0"/>
        <v>0</v>
      </c>
      <c r="B12" s="25" t="s">
        <v>6</v>
      </c>
      <c r="C12" s="88">
        <f>Yeterlikler!B17</f>
        <v>123825000</v>
      </c>
      <c r="D12" s="2"/>
      <c r="E12" s="2"/>
    </row>
    <row r="13" spans="1:7" hidden="1" x14ac:dyDescent="0.25">
      <c r="A13" s="25">
        <f t="shared" ca="1" si="0"/>
        <v>0</v>
      </c>
      <c r="B13" s="25" t="s">
        <v>5</v>
      </c>
      <c r="C13" s="88">
        <f>Yeterlikler!B18</f>
        <v>105251250</v>
      </c>
      <c r="D13" s="2"/>
      <c r="E13" s="2"/>
    </row>
    <row r="14" spans="1:7" hidden="1" x14ac:dyDescent="0.25">
      <c r="A14" s="25">
        <f t="shared" ca="1" si="0"/>
        <v>0</v>
      </c>
      <c r="B14" s="25" t="s">
        <v>9</v>
      </c>
      <c r="C14" s="88">
        <f>Yeterlikler!B19</f>
        <v>86677500</v>
      </c>
      <c r="D14" s="2"/>
      <c r="E14" s="2"/>
    </row>
    <row r="15" spans="1:7" hidden="1" x14ac:dyDescent="0.25">
      <c r="A15" s="25">
        <f t="shared" ca="1" si="0"/>
        <v>0</v>
      </c>
      <c r="B15" s="25" t="s">
        <v>10</v>
      </c>
      <c r="C15" s="88">
        <f>Yeterlikler!B20</f>
        <v>61912500</v>
      </c>
    </row>
    <row r="16" spans="1:7" ht="15.75" hidden="1" x14ac:dyDescent="0.25">
      <c r="A16" s="89">
        <v>1</v>
      </c>
      <c r="B16" s="89"/>
      <c r="C16" s="20"/>
    </row>
    <row r="17" spans="1:1" ht="15.75" hidden="1" x14ac:dyDescent="0.25">
      <c r="A17" s="16"/>
    </row>
    <row r="18" spans="1:1" ht="15.75" hidden="1" x14ac:dyDescent="0.25">
      <c r="A18" s="16"/>
    </row>
  </sheetData>
  <sheetProtection algorithmName="SHA-512" hashValue="gvCBjf1moH8ILjJQ8mFq2+uRohoEKGmf38SqJP+ZZhkJIz09culWGjzSjZEtrnUJgwPbsO3dRAEsoyqUnKQGdA==" saltValue="ziYTVK8EsqmrAs68z3HQYw==" spinCount="100000" sheet="1" objects="1" scenarios="1"/>
  <mergeCells count="2">
    <mergeCell ref="C1:G6"/>
    <mergeCell ref="C7:G9"/>
  </mergeCells>
  <dataValidations count="1">
    <dataValidation type="list" allowBlank="1" showInputMessage="1" showErrorMessage="1" sqref="B3" xr:uid="{00000000-0002-0000-0000-000000000000}">
      <formula1>$B$10:$B$15</formula1>
    </dataValidation>
  </dataValidations>
  <pageMargins left="0.7" right="0.7" top="0.75" bottom="0.75" header="0.3" footer="0.3"/>
  <pageSetup paperSize="9" orientation="portrait" verticalDpi="0" r:id="rId1"/>
  <ignoredErrors>
    <ignoredError sqref="B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974C1-E564-454B-B317-577A8D99A3CD}">
  <dimension ref="A1:K34"/>
  <sheetViews>
    <sheetView zoomScale="90" zoomScaleNormal="90" workbookViewId="0">
      <selection activeCell="H19" sqref="H19"/>
    </sheetView>
  </sheetViews>
  <sheetFormatPr defaultRowHeight="15" x14ac:dyDescent="0.25"/>
  <cols>
    <col min="1" max="1" width="50.7109375" style="94" customWidth="1"/>
    <col min="2" max="4" width="17.7109375" style="94" customWidth="1"/>
    <col min="5" max="5" width="19.85546875" style="94" customWidth="1"/>
    <col min="6" max="6" width="4" style="94" customWidth="1"/>
    <col min="7" max="7" width="50.7109375" style="94" customWidth="1"/>
    <col min="8" max="10" width="17.7109375" style="94" customWidth="1"/>
    <col min="11" max="11" width="20.5703125" style="94" customWidth="1"/>
    <col min="12" max="16384" width="9.140625" style="94"/>
  </cols>
  <sheetData>
    <row r="1" spans="1:10" ht="16.5" thickBot="1" x14ac:dyDescent="0.3">
      <c r="A1" s="184" t="s">
        <v>257</v>
      </c>
      <c r="B1" s="184"/>
      <c r="C1" s="184"/>
      <c r="D1" s="184"/>
      <c r="G1" s="184" t="s">
        <v>256</v>
      </c>
      <c r="H1" s="184"/>
      <c r="I1" s="184"/>
      <c r="J1" s="184"/>
    </row>
    <row r="2" spans="1:10" ht="15" customHeight="1" thickBot="1" x14ac:dyDescent="0.3">
      <c r="A2" s="108" t="s">
        <v>14</v>
      </c>
      <c r="B2" s="109">
        <v>2024</v>
      </c>
      <c r="C2" s="109">
        <v>2023</v>
      </c>
      <c r="D2" s="109">
        <v>2022</v>
      </c>
      <c r="G2" s="108" t="s">
        <v>14</v>
      </c>
      <c r="H2" s="109">
        <v>2025</v>
      </c>
      <c r="I2" s="109">
        <v>2024</v>
      </c>
      <c r="J2" s="109">
        <v>2023</v>
      </c>
    </row>
    <row r="3" spans="1:10" ht="15" customHeight="1" thickBot="1" x14ac:dyDescent="0.3">
      <c r="A3" s="110" t="s">
        <v>15</v>
      </c>
      <c r="B3" s="5">
        <v>1.5</v>
      </c>
      <c r="C3" s="6"/>
      <c r="D3" s="7"/>
      <c r="G3" s="110" t="s">
        <v>15</v>
      </c>
      <c r="H3" s="5">
        <v>1.5</v>
      </c>
      <c r="I3" s="6"/>
      <c r="J3" s="7"/>
    </row>
    <row r="4" spans="1:10" ht="15" customHeight="1" thickBot="1" x14ac:dyDescent="0.3">
      <c r="A4" s="110" t="s">
        <v>16</v>
      </c>
      <c r="B4" s="8">
        <v>2</v>
      </c>
      <c r="C4" s="9"/>
      <c r="D4" s="10"/>
      <c r="G4" s="110" t="s">
        <v>16</v>
      </c>
      <c r="H4" s="8">
        <v>2</v>
      </c>
      <c r="I4" s="9"/>
      <c r="J4" s="10"/>
    </row>
    <row r="5" spans="1:10" ht="15" customHeight="1" thickBot="1" x14ac:dyDescent="0.3">
      <c r="A5" s="110" t="s">
        <v>17</v>
      </c>
      <c r="B5" s="8">
        <v>1.5</v>
      </c>
      <c r="C5" s="9"/>
      <c r="D5" s="10"/>
      <c r="G5" s="110" t="s">
        <v>17</v>
      </c>
      <c r="H5" s="8">
        <v>1.5</v>
      </c>
      <c r="I5" s="9"/>
      <c r="J5" s="10"/>
    </row>
    <row r="6" spans="1:10" ht="15" customHeight="1" thickBot="1" x14ac:dyDescent="0.3">
      <c r="A6" s="110" t="s">
        <v>18</v>
      </c>
      <c r="B6" s="8">
        <v>10</v>
      </c>
      <c r="C6" s="9"/>
      <c r="D6" s="10"/>
      <c r="G6" s="110" t="s">
        <v>18</v>
      </c>
      <c r="H6" s="8">
        <v>10</v>
      </c>
      <c r="I6" s="9"/>
      <c r="J6" s="10"/>
    </row>
    <row r="7" spans="1:10" ht="15" customHeight="1" thickBot="1" x14ac:dyDescent="0.3">
      <c r="A7" s="110" t="s">
        <v>19</v>
      </c>
      <c r="B7" s="8"/>
      <c r="C7" s="9"/>
      <c r="D7" s="10"/>
      <c r="G7" s="110" t="s">
        <v>19</v>
      </c>
      <c r="H7" s="8"/>
      <c r="I7" s="9"/>
      <c r="J7" s="10"/>
    </row>
    <row r="8" spans="1:10" ht="15" customHeight="1" thickBot="1" x14ac:dyDescent="0.3">
      <c r="A8" s="110" t="s">
        <v>20</v>
      </c>
      <c r="B8" s="8">
        <v>1.1200000000000001</v>
      </c>
      <c r="C8" s="9"/>
      <c r="D8" s="10"/>
      <c r="G8" s="110" t="s">
        <v>20</v>
      </c>
      <c r="H8" s="8">
        <v>1.1200000000000001</v>
      </c>
      <c r="I8" s="9"/>
      <c r="J8" s="10"/>
    </row>
    <row r="9" spans="1:10" ht="15" customHeight="1" thickBot="1" x14ac:dyDescent="0.3">
      <c r="A9" s="110" t="s">
        <v>21</v>
      </c>
      <c r="B9" s="11"/>
      <c r="C9" s="12"/>
      <c r="D9" s="13"/>
      <c r="G9" s="110" t="s">
        <v>21</v>
      </c>
      <c r="H9" s="11"/>
      <c r="I9" s="12"/>
      <c r="J9" s="13"/>
    </row>
    <row r="10" spans="1:10" ht="15" customHeight="1" x14ac:dyDescent="0.25">
      <c r="A10" s="111"/>
      <c r="G10" s="111"/>
    </row>
    <row r="11" spans="1:10" ht="15" customHeight="1" thickBot="1" x14ac:dyDescent="0.3">
      <c r="A11" s="175" t="s">
        <v>22</v>
      </c>
      <c r="B11" s="175"/>
      <c r="C11" s="176"/>
      <c r="G11" s="175" t="s">
        <v>22</v>
      </c>
      <c r="H11" s="175"/>
      <c r="I11" s="176"/>
    </row>
    <row r="12" spans="1:10" ht="15" customHeight="1" thickBot="1" x14ac:dyDescent="0.3">
      <c r="A12" s="112" t="s">
        <v>23</v>
      </c>
      <c r="B12" s="113">
        <f>(B3+C3+D3-B7-C7-D7)/(B4+C4+D4-B9-C9-D9)</f>
        <v>0.75</v>
      </c>
      <c r="C12" s="177" t="str">
        <f>IF(B12&gt;=0.75,"YETERLİ","YETERLİ DEĞİL")</f>
        <v>YETERLİ</v>
      </c>
      <c r="D12" s="178"/>
      <c r="G12" s="112" t="s">
        <v>23</v>
      </c>
      <c r="H12" s="113">
        <f>(H3+I3+J3-H7-I7-J7)/(H4+I4+J4-H9-I9-J9)</f>
        <v>0.75</v>
      </c>
      <c r="I12" s="177" t="str">
        <f>IF(H12&gt;=0.75,"YETERLİ","YETERLİ DEĞİL")</f>
        <v>YETERLİ</v>
      </c>
      <c r="J12" s="178"/>
    </row>
    <row r="13" spans="1:10" ht="15" customHeight="1" thickBot="1" x14ac:dyDescent="0.3">
      <c r="A13" s="112" t="s">
        <v>24</v>
      </c>
      <c r="B13" s="113">
        <f>(B5+C5+D5)/(B6+C6+D6-B7-C7-D7)</f>
        <v>0.15</v>
      </c>
      <c r="C13" s="177" t="str">
        <f>IF(B13&gt;=0.15,"YETERLİ","YETERLİ DEĞİL")</f>
        <v>YETERLİ</v>
      </c>
      <c r="D13" s="178"/>
      <c r="G13" s="112" t="s">
        <v>24</v>
      </c>
      <c r="H13" s="113">
        <f>(H5+I5+J5)/(H6+I6+J6-H7-I7-J7)</f>
        <v>0.15</v>
      </c>
      <c r="I13" s="177" t="str">
        <f>IF(H13&gt;=0.15,"YETERLİ","YETERLİ DEĞİL")</f>
        <v>YETERLİ</v>
      </c>
      <c r="J13" s="178"/>
    </row>
    <row r="14" spans="1:10" ht="15" customHeight="1" thickBot="1" x14ac:dyDescent="0.3">
      <c r="A14" s="112" t="s">
        <v>25</v>
      </c>
      <c r="B14" s="113">
        <f>(B8+C8+D8)/(B5+C5+D5)</f>
        <v>0.7466666666666667</v>
      </c>
      <c r="C14" s="177" t="str">
        <f>IF(B14&lt;0, "YETERLİ DEĞİL", IF(B14&lt;0.75, "YETERLİ", "YETERLİ DEĞİL"))</f>
        <v>YETERLİ</v>
      </c>
      <c r="D14" s="178"/>
      <c r="G14" s="112" t="s">
        <v>25</v>
      </c>
      <c r="H14" s="113">
        <f>(H8+I8+J8)/(H5+I5+J5)</f>
        <v>0.7466666666666667</v>
      </c>
      <c r="I14" s="177" t="str">
        <f>IF(H14&lt;0, "YETERLİ DEĞİL", IF(H14&lt;0.75, "YETERLİ", "YETERLİ DEĞİL"))</f>
        <v>YETERLİ</v>
      </c>
      <c r="J14" s="178"/>
    </row>
    <row r="15" spans="1:10" ht="19.5" thickBot="1" x14ac:dyDescent="0.3">
      <c r="A15" s="179" t="s">
        <v>26</v>
      </c>
      <c r="B15" s="180"/>
      <c r="C15" s="177" t="str">
        <f>IF(OR($C$12="YETERLİ DEĞİL",$C$13="YETERLİ DEĞİL",$C$14="YETERLİ DEĞİL"),"YETERLİ DEĞİL","YETERLİ")</f>
        <v>YETERLİ</v>
      </c>
      <c r="D15" s="178"/>
      <c r="G15" s="179" t="s">
        <v>26</v>
      </c>
      <c r="H15" s="180"/>
      <c r="I15" s="177" t="str">
        <f>IF(OR(I12="YETERLİ DEĞİL",I13="YETERLİ DEĞİL",I14="YETERLİ DEĞİL"),"YETERLİ DEĞİL","YETERLİ")</f>
        <v>YETERLİ</v>
      </c>
      <c r="J15" s="178"/>
    </row>
    <row r="16" spans="1:10" ht="18.75" x14ac:dyDescent="0.25">
      <c r="A16" s="114"/>
      <c r="B16" s="114"/>
      <c r="C16" s="115"/>
      <c r="D16" s="115"/>
      <c r="G16" s="114"/>
      <c r="H16" s="114"/>
      <c r="I16" s="115"/>
      <c r="J16" s="115"/>
    </row>
    <row r="17" spans="1:11" ht="18.75" x14ac:dyDescent="0.25">
      <c r="A17" s="114"/>
      <c r="B17" s="114"/>
      <c r="C17" s="115"/>
      <c r="D17" s="115"/>
    </row>
    <row r="18" spans="1:11" s="25" customFormat="1" x14ac:dyDescent="0.25">
      <c r="A18" s="181" t="s">
        <v>273</v>
      </c>
      <c r="B18" s="182"/>
      <c r="C18" s="182"/>
      <c r="D18" s="182"/>
      <c r="E18" s="183"/>
      <c r="F18" s="116"/>
      <c r="G18" s="181" t="s">
        <v>273</v>
      </c>
      <c r="H18" s="182"/>
      <c r="I18" s="182"/>
      <c r="J18" s="182"/>
      <c r="K18" s="183"/>
    </row>
    <row r="19" spans="1:11" x14ac:dyDescent="0.25">
      <c r="A19" s="117" t="s">
        <v>286</v>
      </c>
      <c r="B19" s="17">
        <v>0.5</v>
      </c>
      <c r="C19" s="94" t="s">
        <v>285</v>
      </c>
      <c r="G19" s="117" t="s">
        <v>286</v>
      </c>
      <c r="H19" s="17">
        <v>0.5</v>
      </c>
      <c r="I19" s="94" t="s">
        <v>285</v>
      </c>
    </row>
    <row r="20" spans="1:11" ht="15.75" thickBot="1" x14ac:dyDescent="0.3">
      <c r="A20" s="118"/>
      <c r="B20" s="119"/>
      <c r="C20" s="119"/>
      <c r="D20" s="119"/>
      <c r="G20" s="118"/>
      <c r="H20" s="119"/>
      <c r="I20" s="119"/>
      <c r="J20" s="119"/>
    </row>
    <row r="21" spans="1:11" ht="15.75" thickBot="1" x14ac:dyDescent="0.3">
      <c r="A21" s="108" t="s">
        <v>14</v>
      </c>
      <c r="B21" s="109">
        <v>2024</v>
      </c>
      <c r="C21" s="109">
        <v>2023</v>
      </c>
      <c r="D21" s="109">
        <v>2022</v>
      </c>
      <c r="G21" s="108" t="s">
        <v>14</v>
      </c>
      <c r="H21" s="109">
        <v>2025</v>
      </c>
      <c r="I21" s="109">
        <v>2024</v>
      </c>
      <c r="J21" s="109">
        <v>2023</v>
      </c>
    </row>
    <row r="22" spans="1:11" ht="15.75" thickBot="1" x14ac:dyDescent="0.3">
      <c r="A22" s="110" t="s">
        <v>15</v>
      </c>
      <c r="B22" s="5"/>
      <c r="C22" s="6"/>
      <c r="D22" s="7"/>
      <c r="G22" s="110" t="s">
        <v>15</v>
      </c>
      <c r="H22" s="5"/>
      <c r="I22" s="6"/>
      <c r="J22" s="7"/>
    </row>
    <row r="23" spans="1:11" ht="15.75" thickBot="1" x14ac:dyDescent="0.3">
      <c r="A23" s="110" t="s">
        <v>16</v>
      </c>
      <c r="B23" s="8"/>
      <c r="C23" s="9"/>
      <c r="D23" s="10"/>
      <c r="G23" s="110" t="s">
        <v>16</v>
      </c>
      <c r="H23" s="8"/>
      <c r="I23" s="9"/>
      <c r="J23" s="10"/>
    </row>
    <row r="24" spans="1:11" ht="15.75" thickBot="1" x14ac:dyDescent="0.3">
      <c r="A24" s="110" t="s">
        <v>17</v>
      </c>
      <c r="B24" s="8"/>
      <c r="C24" s="9"/>
      <c r="D24" s="10"/>
      <c r="G24" s="110" t="s">
        <v>17</v>
      </c>
      <c r="H24" s="8"/>
      <c r="I24" s="9"/>
      <c r="J24" s="10"/>
    </row>
    <row r="25" spans="1:11" ht="15.75" thickBot="1" x14ac:dyDescent="0.3">
      <c r="A25" s="110" t="s">
        <v>18</v>
      </c>
      <c r="B25" s="8"/>
      <c r="C25" s="9"/>
      <c r="D25" s="10"/>
      <c r="G25" s="110" t="s">
        <v>18</v>
      </c>
      <c r="H25" s="8"/>
      <c r="I25" s="9"/>
      <c r="J25" s="10"/>
    </row>
    <row r="26" spans="1:11" ht="15.75" thickBot="1" x14ac:dyDescent="0.3">
      <c r="A26" s="110" t="s">
        <v>19</v>
      </c>
      <c r="B26" s="8"/>
      <c r="C26" s="9"/>
      <c r="D26" s="10"/>
      <c r="G26" s="110" t="s">
        <v>19</v>
      </c>
      <c r="H26" s="8"/>
      <c r="I26" s="9"/>
      <c r="J26" s="10"/>
    </row>
    <row r="27" spans="1:11" ht="15.75" thickBot="1" x14ac:dyDescent="0.3">
      <c r="A27" s="110" t="s">
        <v>20</v>
      </c>
      <c r="B27" s="8"/>
      <c r="C27" s="9"/>
      <c r="D27" s="10"/>
      <c r="G27" s="110" t="s">
        <v>20</v>
      </c>
      <c r="H27" s="8"/>
      <c r="I27" s="9"/>
      <c r="J27" s="10"/>
    </row>
    <row r="28" spans="1:11" ht="15.75" thickBot="1" x14ac:dyDescent="0.3">
      <c r="A28" s="110" t="s">
        <v>21</v>
      </c>
      <c r="B28" s="11"/>
      <c r="C28" s="12"/>
      <c r="D28" s="13"/>
      <c r="G28" s="110" t="s">
        <v>21</v>
      </c>
      <c r="H28" s="11"/>
      <c r="I28" s="12"/>
      <c r="J28" s="13"/>
    </row>
    <row r="29" spans="1:11" x14ac:dyDescent="0.25">
      <c r="A29" s="111"/>
    </row>
    <row r="30" spans="1:11" ht="16.5" thickBot="1" x14ac:dyDescent="0.3">
      <c r="A30" s="175" t="s">
        <v>22</v>
      </c>
      <c r="B30" s="175"/>
      <c r="C30" s="176"/>
      <c r="G30" s="175" t="s">
        <v>22</v>
      </c>
      <c r="H30" s="175"/>
      <c r="I30" s="176"/>
    </row>
    <row r="31" spans="1:11" ht="18" customHeight="1" thickBot="1" x14ac:dyDescent="0.3">
      <c r="A31" s="112" t="s">
        <v>23</v>
      </c>
      <c r="B31" s="113">
        <f>(((B22+C22+D22-B26-C26-D26)*B19)+B3+C3+D3-B7-C7-D7)/(((B23+C23+D23-B28-C28-D28)*B19)+B4+C4+D4-B9-C9-D9)</f>
        <v>0.75</v>
      </c>
      <c r="C31" s="177" t="str">
        <f>IF(B31&gt;=0.75,"YETERLİ","YETERLİ DEĞİL")</f>
        <v>YETERLİ</v>
      </c>
      <c r="D31" s="178"/>
      <c r="G31" s="112" t="s">
        <v>23</v>
      </c>
      <c r="H31" s="113">
        <f>(((H22+I22+J22-H26-I26-J26)*H19)+H3+I3+J3-H7-I7-J7)/(((H23+I23+J23-H28-I28-J28)*H19)+H4+I4+J4-H9-I9-J9)</f>
        <v>0.75</v>
      </c>
      <c r="I31" s="177" t="str">
        <f>IF(H31&gt;=0.75,"YETERLİ","YETERLİ DEĞİL")</f>
        <v>YETERLİ</v>
      </c>
      <c r="J31" s="178"/>
    </row>
    <row r="32" spans="1:11" ht="18" customHeight="1" thickBot="1" x14ac:dyDescent="0.3">
      <c r="A32" s="112" t="s">
        <v>24</v>
      </c>
      <c r="B32" s="113">
        <f>(((B24+C24+D24)*B19)+B5+C5+D5)/(((B25+C25+D25-B26-C26-D26)*B19)+B6+C6+D6-B7-C7-D7)</f>
        <v>0.15</v>
      </c>
      <c r="C32" s="177" t="str">
        <f>IF(B32&gt;=0.15,"YETERLİ","YETERLİ DEĞİL")</f>
        <v>YETERLİ</v>
      </c>
      <c r="D32" s="178"/>
      <c r="G32" s="112" t="s">
        <v>24</v>
      </c>
      <c r="H32" s="113">
        <f>(((H24+I24+J24)*H19)+H5+I5+J5)/(((H25+I25+J25-H26-I26-J26)*H19)+H6+I6+J6-H7-I7-J7)</f>
        <v>0.15</v>
      </c>
      <c r="I32" s="177" t="str">
        <f>IF(H32&gt;=0.15,"YETERLİ","YETERLİ DEĞİL")</f>
        <v>YETERLİ</v>
      </c>
      <c r="J32" s="178"/>
    </row>
    <row r="33" spans="1:10" ht="18" customHeight="1" thickBot="1" x14ac:dyDescent="0.3">
      <c r="A33" s="112" t="s">
        <v>25</v>
      </c>
      <c r="B33" s="113">
        <f>(((B27+C27+D27)*B19)+B8+C8+D8)/(((B24+C24+D24)*B19)+B5+C5+D5)</f>
        <v>0.7466666666666667</v>
      </c>
      <c r="C33" s="177" t="str">
        <f>IF(B33&lt;0, "YETERLİ DEĞİL", IF(B33&lt;0.75, "YETERLİ", "YETERLİ DEĞİL"))</f>
        <v>YETERLİ</v>
      </c>
      <c r="D33" s="178"/>
      <c r="G33" s="112" t="s">
        <v>25</v>
      </c>
      <c r="H33" s="113">
        <f>(((H27+I27+J27)*H19)+H8+I8+J8)/(((H24+I24+J24)*H19)+H5+I5+J5)</f>
        <v>0.7466666666666667</v>
      </c>
      <c r="I33" s="177" t="str">
        <f>IF(H33&lt;0, "YETERLİ DEĞİL", IF(H33&lt;0.75, "YETERLİ", "YETERLİ DEĞİL"))</f>
        <v>YETERLİ</v>
      </c>
      <c r="J33" s="178"/>
    </row>
    <row r="34" spans="1:10" ht="18" customHeight="1" thickBot="1" x14ac:dyDescent="0.3">
      <c r="A34" s="179" t="s">
        <v>26</v>
      </c>
      <c r="B34" s="180"/>
      <c r="C34" s="177" t="str">
        <f>IF(OR(C31="YETERLİ DEĞİL",C32="YETERLİ DEĞİL",C33="YETERLİ DEĞİL"),"YETERLİ DEĞİL","YETERLİ")</f>
        <v>YETERLİ</v>
      </c>
      <c r="D34" s="178"/>
      <c r="G34" s="179" t="s">
        <v>26</v>
      </c>
      <c r="H34" s="180"/>
      <c r="I34" s="177" t="str">
        <f>IF(OR(I31="YETERLİ DEĞİL",I32="YETERLİ DEĞİL",I33="YETERLİ DEĞİL"),"YETERLİ DEĞİL","YETERLİ")</f>
        <v>YETERLİ</v>
      </c>
      <c r="J34" s="178"/>
    </row>
  </sheetData>
  <sheetProtection algorithmName="SHA-512" hashValue="7d6g5xy6e8SzYMSXt7jq4bB3QtDG1sKdSrpw+yahkGSUdFWAOUpFZ3O+h1wcAwpOSweD9l/dkeRSBaqbQd1yzg==" saltValue="aCqoZ7aPLBQAJ4FjH2e9bA==" spinCount="100000" sheet="1" objects="1" scenarios="1"/>
  <mergeCells count="28">
    <mergeCell ref="G1:J1"/>
    <mergeCell ref="A1:D1"/>
    <mergeCell ref="G11:I11"/>
    <mergeCell ref="I12:J12"/>
    <mergeCell ref="I13:J13"/>
    <mergeCell ref="A18:E18"/>
    <mergeCell ref="G18:K18"/>
    <mergeCell ref="G15:H15"/>
    <mergeCell ref="I15:J15"/>
    <mergeCell ref="A11:C11"/>
    <mergeCell ref="C12:D12"/>
    <mergeCell ref="C13:D13"/>
    <mergeCell ref="C14:D14"/>
    <mergeCell ref="A15:B15"/>
    <mergeCell ref="C15:D15"/>
    <mergeCell ref="I14:J14"/>
    <mergeCell ref="A30:C30"/>
    <mergeCell ref="C31:D31"/>
    <mergeCell ref="C32:D32"/>
    <mergeCell ref="C33:D33"/>
    <mergeCell ref="A34:B34"/>
    <mergeCell ref="C34:D34"/>
    <mergeCell ref="G30:I30"/>
    <mergeCell ref="I31:J31"/>
    <mergeCell ref="I32:J32"/>
    <mergeCell ref="I33:J33"/>
    <mergeCell ref="G34:H34"/>
    <mergeCell ref="I34:J34"/>
  </mergeCells>
  <pageMargins left="0.7" right="0.7" top="0.75" bottom="0.75" header="0.3" footer="0.3"/>
  <pageSetup paperSize="9" scale="90"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88"/>
  <sheetViews>
    <sheetView zoomScale="85" zoomScaleNormal="85" workbookViewId="0">
      <selection activeCell="B37" sqref="B37"/>
    </sheetView>
  </sheetViews>
  <sheetFormatPr defaultRowHeight="15" x14ac:dyDescent="0.25"/>
  <cols>
    <col min="1" max="1" width="28.140625" style="25" customWidth="1"/>
    <col min="2" max="3" width="18.7109375" style="25" customWidth="1"/>
    <col min="4" max="4" width="19.42578125" style="25" customWidth="1"/>
    <col min="5" max="5" width="18.7109375" style="25" customWidth="1"/>
    <col min="6" max="6" width="20.5703125" style="25" customWidth="1"/>
    <col min="7" max="7" width="18.7109375" style="25" customWidth="1"/>
    <col min="8" max="8" width="9.140625" style="25"/>
    <col min="9" max="9" width="25.85546875" style="25" customWidth="1"/>
    <col min="10" max="15" width="21.7109375" style="25" customWidth="1"/>
    <col min="16" max="16384" width="9.140625" style="25"/>
  </cols>
  <sheetData>
    <row r="1" spans="1:15" x14ac:dyDescent="0.25">
      <c r="A1" s="185" t="s">
        <v>27</v>
      </c>
      <c r="B1" s="185"/>
      <c r="C1" s="185"/>
      <c r="D1" s="185"/>
      <c r="E1" s="185"/>
      <c r="F1" s="185"/>
      <c r="G1" s="185"/>
    </row>
    <row r="2" spans="1:15" x14ac:dyDescent="0.25">
      <c r="A2" s="120"/>
      <c r="B2" s="120"/>
      <c r="C2" s="120"/>
      <c r="D2" s="120"/>
      <c r="E2" s="120"/>
      <c r="F2" s="120"/>
      <c r="G2" s="120"/>
    </row>
    <row r="3" spans="1:15" ht="16.5" thickBot="1" x14ac:dyDescent="0.3">
      <c r="A3" s="184" t="s">
        <v>257</v>
      </c>
      <c r="B3" s="184"/>
      <c r="C3" s="184"/>
      <c r="D3" s="184"/>
      <c r="I3" s="184" t="s">
        <v>256</v>
      </c>
      <c r="J3" s="184"/>
      <c r="K3" s="184"/>
      <c r="L3" s="184"/>
    </row>
    <row r="4" spans="1:15" ht="15.75" thickBot="1" x14ac:dyDescent="0.3">
      <c r="A4" s="121" t="s">
        <v>28</v>
      </c>
      <c r="B4" s="109">
        <v>2024</v>
      </c>
      <c r="C4" s="109">
        <v>2023</v>
      </c>
      <c r="D4" s="109">
        <v>2022</v>
      </c>
      <c r="E4" s="109">
        <v>2021</v>
      </c>
      <c r="F4" s="109">
        <v>2020</v>
      </c>
      <c r="G4" s="109">
        <v>2019</v>
      </c>
      <c r="I4" s="121" t="s">
        <v>28</v>
      </c>
      <c r="J4" s="109">
        <v>2025</v>
      </c>
      <c r="K4" s="109">
        <v>2024</v>
      </c>
      <c r="L4" s="109">
        <v>2023</v>
      </c>
      <c r="M4" s="109">
        <v>2022</v>
      </c>
      <c r="N4" s="109">
        <v>2021</v>
      </c>
      <c r="O4" s="109">
        <v>2020</v>
      </c>
    </row>
    <row r="5" spans="1:15" ht="15.75" thickBot="1" x14ac:dyDescent="0.3">
      <c r="A5" s="122" t="s">
        <v>29</v>
      </c>
      <c r="B5" s="3"/>
      <c r="C5" s="3"/>
      <c r="D5" s="3"/>
      <c r="E5" s="3"/>
      <c r="F5" s="3"/>
      <c r="G5" s="3"/>
      <c r="I5" s="122" t="s">
        <v>29</v>
      </c>
      <c r="J5" s="3"/>
      <c r="K5" s="3"/>
      <c r="L5" s="3"/>
      <c r="M5" s="3"/>
      <c r="N5" s="3"/>
      <c r="O5" s="3"/>
    </row>
    <row r="6" spans="1:15" ht="15.75" thickBot="1" x14ac:dyDescent="0.3"/>
    <row r="7" spans="1:15" ht="15.75" thickBot="1" x14ac:dyDescent="0.3">
      <c r="A7" s="121" t="s">
        <v>28</v>
      </c>
      <c r="B7" s="109">
        <v>2024</v>
      </c>
      <c r="C7" s="109">
        <v>2023</v>
      </c>
      <c r="D7" s="109">
        <v>2022</v>
      </c>
      <c r="I7" s="121" t="s">
        <v>28</v>
      </c>
      <c r="J7" s="109">
        <v>2025</v>
      </c>
      <c r="K7" s="109">
        <v>2024</v>
      </c>
      <c r="L7" s="109">
        <v>2023</v>
      </c>
    </row>
    <row r="8" spans="1:15" ht="15.75" thickBot="1" x14ac:dyDescent="0.3">
      <c r="A8" s="122" t="s">
        <v>30</v>
      </c>
      <c r="B8" s="3"/>
      <c r="C8" s="3"/>
      <c r="D8" s="3"/>
      <c r="I8" s="122" t="s">
        <v>30</v>
      </c>
      <c r="J8" s="3"/>
      <c r="K8" s="3"/>
      <c r="L8" s="3"/>
    </row>
    <row r="9" spans="1:15" x14ac:dyDescent="0.25">
      <c r="A9" s="120"/>
      <c r="B9" s="123"/>
      <c r="I9" s="120"/>
      <c r="J9" s="123"/>
    </row>
    <row r="10" spans="1:15" x14ac:dyDescent="0.25">
      <c r="A10" s="186" t="s">
        <v>31</v>
      </c>
      <c r="B10" s="186"/>
      <c r="C10" s="186"/>
      <c r="D10" s="186"/>
      <c r="E10" s="186"/>
      <c r="F10" s="186"/>
      <c r="G10" s="186"/>
      <c r="I10" s="186" t="s">
        <v>31</v>
      </c>
      <c r="J10" s="186"/>
      <c r="K10" s="186"/>
      <c r="L10" s="186"/>
      <c r="M10" s="186"/>
      <c r="N10" s="186"/>
      <c r="O10" s="186"/>
    </row>
    <row r="11" spans="1:15" x14ac:dyDescent="0.25">
      <c r="A11" s="124"/>
      <c r="B11" s="124"/>
      <c r="C11" s="124"/>
      <c r="D11" s="125"/>
      <c r="E11" s="125"/>
      <c r="F11" s="125"/>
      <c r="G11" s="125"/>
      <c r="I11" s="124"/>
      <c r="J11" s="124"/>
      <c r="K11" s="124"/>
      <c r="L11" s="125"/>
      <c r="M11" s="125"/>
      <c r="N11" s="125"/>
      <c r="O11" s="125"/>
    </row>
    <row r="12" spans="1:15" x14ac:dyDescent="0.25">
      <c r="A12" s="126" t="s">
        <v>32</v>
      </c>
      <c r="B12" s="127"/>
      <c r="C12" s="128">
        <f>'İş Deneyim'!R30</f>
        <v>4910.53</v>
      </c>
      <c r="D12" s="129"/>
      <c r="I12" s="126" t="s">
        <v>32</v>
      </c>
      <c r="J12" s="127"/>
      <c r="K12" s="128">
        <f>'İş Deneyim'!R30</f>
        <v>4910.53</v>
      </c>
      <c r="L12" s="129"/>
    </row>
    <row r="13" spans="1:15" x14ac:dyDescent="0.25">
      <c r="A13" s="130"/>
      <c r="B13" s="131"/>
      <c r="C13" s="119"/>
      <c r="D13" s="119"/>
      <c r="I13" s="130"/>
      <c r="J13" s="131"/>
      <c r="K13" s="119"/>
      <c r="L13" s="119"/>
    </row>
    <row r="14" spans="1:15" x14ac:dyDescent="0.25">
      <c r="A14" s="132" t="s">
        <v>4</v>
      </c>
      <c r="B14" s="4" t="s">
        <v>3</v>
      </c>
      <c r="C14" s="192" t="s">
        <v>259</v>
      </c>
      <c r="D14" s="192"/>
      <c r="E14" s="133" t="str">
        <f>IF(E30&lt;=E36,C27,C33)</f>
        <v>TOPLAM CİRO</v>
      </c>
      <c r="F14" s="100" t="s">
        <v>262</v>
      </c>
      <c r="G14" s="134" t="str">
        <f>IF(E30&lt;=E36,E30,E36)</f>
        <v>F</v>
      </c>
      <c r="I14" s="132" t="s">
        <v>4</v>
      </c>
      <c r="J14" s="4" t="s">
        <v>3</v>
      </c>
      <c r="K14" s="192" t="s">
        <v>259</v>
      </c>
      <c r="L14" s="192"/>
      <c r="M14" s="133" t="str">
        <f>IF(M36&gt;=M30,K27,K33)</f>
        <v>TOPLAM CİRO</v>
      </c>
      <c r="N14" s="100" t="s">
        <v>262</v>
      </c>
      <c r="O14" s="134" t="str">
        <f>IF(M30&lt;=M36,M30,M36)</f>
        <v>F</v>
      </c>
    </row>
    <row r="15" spans="1:15" x14ac:dyDescent="0.25">
      <c r="A15" s="135"/>
      <c r="C15" s="123"/>
      <c r="H15" s="136"/>
      <c r="J15" s="123"/>
    </row>
    <row r="16" spans="1:15" s="94" customFormat="1" x14ac:dyDescent="0.25">
      <c r="A16" s="137"/>
    </row>
    <row r="17" spans="1:15" x14ac:dyDescent="0.25">
      <c r="A17" s="193" t="s">
        <v>272</v>
      </c>
      <c r="B17" s="194"/>
      <c r="C17" s="194"/>
      <c r="D17" s="194"/>
      <c r="E17" s="194"/>
      <c r="F17" s="194"/>
      <c r="G17" s="195"/>
      <c r="I17" s="193" t="s">
        <v>272</v>
      </c>
      <c r="J17" s="194"/>
      <c r="K17" s="194"/>
      <c r="L17" s="194"/>
      <c r="M17" s="194"/>
      <c r="N17" s="194"/>
      <c r="O17" s="195"/>
    </row>
    <row r="18" spans="1:15" x14ac:dyDescent="0.25">
      <c r="A18" s="138"/>
      <c r="B18" s="139"/>
      <c r="C18" s="139"/>
      <c r="D18" s="140"/>
      <c r="E18" s="140"/>
      <c r="F18" s="140"/>
      <c r="G18" s="140"/>
      <c r="I18" s="138"/>
      <c r="J18" s="139"/>
      <c r="K18" s="139"/>
      <c r="L18" s="140"/>
      <c r="M18" s="140"/>
      <c r="N18" s="140"/>
      <c r="O18" s="140"/>
    </row>
    <row r="19" spans="1:15" x14ac:dyDescent="0.25">
      <c r="A19" s="141" t="s">
        <v>261</v>
      </c>
      <c r="B19" s="59"/>
      <c r="C19" s="17">
        <v>0.5</v>
      </c>
      <c r="I19" s="141" t="s">
        <v>261</v>
      </c>
      <c r="J19" s="59"/>
      <c r="K19" s="17">
        <v>0.5</v>
      </c>
    </row>
    <row r="20" spans="1:15" ht="15.75" thickBot="1" x14ac:dyDescent="0.3">
      <c r="A20" s="142"/>
      <c r="C20" s="123"/>
      <c r="I20" s="142"/>
      <c r="K20" s="123"/>
    </row>
    <row r="21" spans="1:15" ht="15.75" thickBot="1" x14ac:dyDescent="0.3">
      <c r="A21" s="121" t="s">
        <v>28</v>
      </c>
      <c r="B21" s="109">
        <v>2024</v>
      </c>
      <c r="C21" s="109">
        <v>2023</v>
      </c>
      <c r="D21" s="109">
        <v>2022</v>
      </c>
      <c r="E21" s="109">
        <v>2021</v>
      </c>
      <c r="F21" s="109">
        <v>2020</v>
      </c>
      <c r="G21" s="109">
        <v>2019</v>
      </c>
      <c r="I21" s="121" t="s">
        <v>28</v>
      </c>
      <c r="J21" s="109">
        <v>2025</v>
      </c>
      <c r="K21" s="109">
        <v>2024</v>
      </c>
      <c r="L21" s="109">
        <v>2023</v>
      </c>
      <c r="M21" s="109">
        <v>2022</v>
      </c>
      <c r="N21" s="109">
        <v>2021</v>
      </c>
      <c r="O21" s="109">
        <v>2020</v>
      </c>
    </row>
    <row r="22" spans="1:15" ht="15.75" thickBot="1" x14ac:dyDescent="0.3">
      <c r="A22" s="122" t="s">
        <v>29</v>
      </c>
      <c r="B22" s="3"/>
      <c r="C22" s="3"/>
      <c r="D22" s="3"/>
      <c r="E22" s="3"/>
      <c r="F22" s="3"/>
      <c r="G22" s="3"/>
      <c r="I22" s="122" t="s">
        <v>29</v>
      </c>
      <c r="J22" s="3"/>
      <c r="K22" s="3"/>
      <c r="L22" s="3"/>
      <c r="M22" s="3"/>
      <c r="N22" s="3"/>
      <c r="O22" s="3"/>
    </row>
    <row r="23" spans="1:15" ht="15.75" thickBot="1" x14ac:dyDescent="0.3"/>
    <row r="24" spans="1:15" ht="15.75" thickBot="1" x14ac:dyDescent="0.3">
      <c r="A24" s="121" t="s">
        <v>28</v>
      </c>
      <c r="B24" s="109">
        <v>2024</v>
      </c>
      <c r="C24" s="109">
        <v>2023</v>
      </c>
      <c r="D24" s="109">
        <v>2022</v>
      </c>
      <c r="I24" s="121" t="s">
        <v>28</v>
      </c>
      <c r="J24" s="109">
        <v>2025</v>
      </c>
      <c r="K24" s="109">
        <v>2024</v>
      </c>
      <c r="L24" s="109">
        <v>2023</v>
      </c>
    </row>
    <row r="25" spans="1:15" ht="15.75" thickBot="1" x14ac:dyDescent="0.3">
      <c r="A25" s="122" t="s">
        <v>30</v>
      </c>
      <c r="B25" s="3"/>
      <c r="C25" s="3"/>
      <c r="D25" s="3"/>
      <c r="I25" s="122" t="s">
        <v>30</v>
      </c>
      <c r="J25" s="3"/>
      <c r="K25" s="3"/>
      <c r="L25" s="3"/>
    </row>
    <row r="26" spans="1:15" x14ac:dyDescent="0.25">
      <c r="A26" s="143"/>
      <c r="C26" s="123"/>
      <c r="I26" s="143"/>
      <c r="K26" s="123"/>
    </row>
    <row r="27" spans="1:15" ht="15.75" thickBot="1" x14ac:dyDescent="0.3">
      <c r="A27" s="144" t="s">
        <v>34</v>
      </c>
      <c r="B27" s="145">
        <f>VLOOKUP(B14,A39:C88,2)</f>
        <v>24765000</v>
      </c>
      <c r="C27" s="146" t="s">
        <v>45</v>
      </c>
      <c r="D27" s="147"/>
      <c r="E27" s="147"/>
      <c r="I27" s="144" t="s">
        <v>34</v>
      </c>
      <c r="J27" s="145">
        <f>VLOOKUP(B14,A39:C88,2)</f>
        <v>24765000</v>
      </c>
      <c r="K27" s="146" t="s">
        <v>45</v>
      </c>
      <c r="L27" s="147"/>
      <c r="M27" s="147"/>
    </row>
    <row r="28" spans="1:15" ht="15.75" thickBot="1" x14ac:dyDescent="0.3">
      <c r="A28" s="148"/>
      <c r="B28" s="109">
        <v>2024</v>
      </c>
      <c r="C28" s="109">
        <v>2023</v>
      </c>
      <c r="D28" s="109">
        <v>2022</v>
      </c>
      <c r="E28" s="109">
        <v>2021</v>
      </c>
      <c r="F28" s="109">
        <v>2020</v>
      </c>
      <c r="G28" s="109">
        <v>2019</v>
      </c>
      <c r="I28" s="148"/>
      <c r="J28" s="109">
        <v>2025</v>
      </c>
      <c r="K28" s="109">
        <v>2024</v>
      </c>
      <c r="L28" s="109">
        <v>2023</v>
      </c>
      <c r="M28" s="109">
        <v>2022</v>
      </c>
      <c r="N28" s="109">
        <v>2021</v>
      </c>
      <c r="O28" s="109">
        <v>2020</v>
      </c>
    </row>
    <row r="29" spans="1:15" x14ac:dyDescent="0.25">
      <c r="A29" s="149" t="s">
        <v>35</v>
      </c>
      <c r="B29" s="150">
        <f>(B5+B22*$C$19)*$C$12/3483.25</f>
        <v>0</v>
      </c>
      <c r="C29" s="150">
        <f>(C5+C22*$C$19)*$C$12/2320.72</f>
        <v>0</v>
      </c>
      <c r="D29" s="151">
        <f>(D5+D22*$C$19)*$C$12/1652.75</f>
        <v>0</v>
      </c>
      <c r="E29" s="150">
        <f>(E5+E22*$C$19)*$C$12/693.54</f>
        <v>0</v>
      </c>
      <c r="F29" s="150">
        <f>(F5+F22*$C$19)*$C$12/485.37</f>
        <v>0</v>
      </c>
      <c r="G29" s="150">
        <f>(G5+G22*$C$19)*$C$12/457.16</f>
        <v>0</v>
      </c>
      <c r="I29" s="149" t="s">
        <v>35</v>
      </c>
      <c r="J29" s="150">
        <f>(J5+J22*$K$19)*$K$12/4334.94</f>
        <v>0</v>
      </c>
      <c r="K29" s="150">
        <f>(K5+K22*$K$19)*$K$12/3483.25</f>
        <v>0</v>
      </c>
      <c r="L29" s="150">
        <f>(L5+L22*$K$19)*$K$12/2320.72</f>
        <v>0</v>
      </c>
      <c r="M29" s="151">
        <f>(M5+M22*$K$19)*$K$12/1652.75</f>
        <v>0</v>
      </c>
      <c r="N29" s="150">
        <f>(N5+N22*$K$19)*$K$12/693.54</f>
        <v>0</v>
      </c>
      <c r="O29" s="150">
        <f>(O5+O22*$K$19)*$K$12/485.37</f>
        <v>0</v>
      </c>
    </row>
    <row r="30" spans="1:15" ht="15" customHeight="1" x14ac:dyDescent="0.25">
      <c r="A30" s="152" t="s">
        <v>36</v>
      </c>
      <c r="B30" s="153" t="e">
        <f>SUM(B29:G29)/COUNTA(B5:G5)</f>
        <v>#DIV/0!</v>
      </c>
      <c r="C30" s="187" t="s">
        <v>276</v>
      </c>
      <c r="D30" s="188"/>
      <c r="E30" s="190" t="str">
        <f>IFERROR(VLOOKUP(D48,D39:F47,2,0),"F")</f>
        <v>F</v>
      </c>
      <c r="I30" s="152" t="s">
        <v>36</v>
      </c>
      <c r="J30" s="153" t="e">
        <f>SUM(J29:O29)/COUNTA(J5:O5)</f>
        <v>#DIV/0!</v>
      </c>
      <c r="K30" s="187" t="s">
        <v>276</v>
      </c>
      <c r="L30" s="188"/>
      <c r="M30" s="190" t="str">
        <f>IFERROR(VLOOKUP(J48,J39:L47,2,0),"F")</f>
        <v>F</v>
      </c>
    </row>
    <row r="31" spans="1:15" x14ac:dyDescent="0.25">
      <c r="A31" s="59" t="s">
        <v>37</v>
      </c>
      <c r="B31" s="154" t="e">
        <f>IF(B30&gt;=B27,"YETERLİ","YETERLİ DEĞİL")</f>
        <v>#DIV/0!</v>
      </c>
      <c r="C31" s="189"/>
      <c r="D31" s="189"/>
      <c r="E31" s="191"/>
      <c r="I31" s="59" t="s">
        <v>37</v>
      </c>
      <c r="J31" s="154" t="e">
        <f>IF(J30&gt;=J27,"YETERLİ","YETERLİ DEĞİL")</f>
        <v>#DIV/0!</v>
      </c>
      <c r="K31" s="189"/>
      <c r="L31" s="189"/>
      <c r="M31" s="191"/>
    </row>
    <row r="32" spans="1:15" x14ac:dyDescent="0.25">
      <c r="A32" s="155"/>
      <c r="B32" s="156"/>
      <c r="C32" s="91"/>
      <c r="D32" s="91"/>
      <c r="E32" s="49"/>
      <c r="I32" s="155"/>
      <c r="J32" s="156"/>
      <c r="K32" s="91"/>
      <c r="L32" s="91"/>
      <c r="M32" s="49"/>
    </row>
    <row r="33" spans="1:15" ht="15.75" thickBot="1" x14ac:dyDescent="0.3">
      <c r="A33" s="157" t="s">
        <v>38</v>
      </c>
      <c r="B33" s="158">
        <f>VLOOKUP($B$14,$A$39:$C$88,3)</f>
        <v>19812000</v>
      </c>
      <c r="C33" s="159" t="s">
        <v>260</v>
      </c>
      <c r="I33" s="157" t="s">
        <v>38</v>
      </c>
      <c r="J33" s="158">
        <f>VLOOKUP($B$14,$A$39:$C$88,3)</f>
        <v>19812000</v>
      </c>
      <c r="K33" s="159" t="s">
        <v>260</v>
      </c>
    </row>
    <row r="34" spans="1:15" ht="15.75" thickBot="1" x14ac:dyDescent="0.3">
      <c r="A34" s="148"/>
      <c r="B34" s="109">
        <v>2024</v>
      </c>
      <c r="C34" s="109">
        <v>2023</v>
      </c>
      <c r="D34" s="109">
        <v>2022</v>
      </c>
      <c r="E34" s="159"/>
      <c r="F34" s="160"/>
      <c r="G34" s="159"/>
      <c r="I34" s="148"/>
      <c r="J34" s="109">
        <v>2025</v>
      </c>
      <c r="K34" s="109">
        <v>2024</v>
      </c>
      <c r="L34" s="109">
        <v>2023</v>
      </c>
      <c r="M34" s="159"/>
      <c r="N34" s="160"/>
      <c r="O34" s="159"/>
    </row>
    <row r="35" spans="1:15" x14ac:dyDescent="0.25">
      <c r="A35" s="149" t="s">
        <v>39</v>
      </c>
      <c r="B35" s="150">
        <f>(B8+B25*C19)*C12/3483.25</f>
        <v>0</v>
      </c>
      <c r="C35" s="151">
        <f>(C8+C25*C19)*C12/2320.72</f>
        <v>0</v>
      </c>
      <c r="D35" s="150">
        <f>(D8+D25*C19)*C12/1652.75</f>
        <v>0</v>
      </c>
      <c r="E35" s="161"/>
      <c r="F35" s="161"/>
      <c r="G35" s="161"/>
      <c r="I35" s="149" t="s">
        <v>39</v>
      </c>
      <c r="J35" s="150">
        <f>(J8+J25*K19)*K12/4334.94</f>
        <v>0</v>
      </c>
      <c r="K35" s="150">
        <f>(K8+K25*K19)*K12/3483.25</f>
        <v>0</v>
      </c>
      <c r="L35" s="151">
        <f>(L8+L25*K19)*K12/2320.72</f>
        <v>0</v>
      </c>
      <c r="M35" s="161"/>
      <c r="N35" s="161"/>
      <c r="O35" s="161"/>
    </row>
    <row r="36" spans="1:15" ht="15" customHeight="1" x14ac:dyDescent="0.25">
      <c r="A36" s="59" t="s">
        <v>40</v>
      </c>
      <c r="B36" s="162" t="str">
        <f>IF(OR(B35&gt;=B33,C35&gt;=B33,D35&gt;=B33),"YETERLİ","YETERLİ DEĞİL")</f>
        <v>YETERLİ DEĞİL</v>
      </c>
      <c r="C36" s="216" t="s">
        <v>276</v>
      </c>
      <c r="D36" s="217"/>
      <c r="E36" s="219" t="str">
        <f>IFERROR(VLOOKUP(G48,G39:I47,2,0),"F")</f>
        <v>F</v>
      </c>
      <c r="I36" s="59" t="s">
        <v>40</v>
      </c>
      <c r="J36" s="162" t="str">
        <f>IF(OR(J35&gt;=J33,K35&gt;=J33,L35&gt;=J33),"YETERLİ","YETERLİ DEĞİL")</f>
        <v>YETERLİ DEĞİL</v>
      </c>
      <c r="K36" s="216" t="s">
        <v>276</v>
      </c>
      <c r="L36" s="217"/>
      <c r="M36" s="219" t="str">
        <f>IFERROR(VLOOKUP(M48,M39:O47,2,0),"F")</f>
        <v>F</v>
      </c>
    </row>
    <row r="37" spans="1:15" ht="15" customHeight="1" x14ac:dyDescent="0.25">
      <c r="A37" s="59" t="s">
        <v>258</v>
      </c>
      <c r="B37" s="163">
        <f>MAX(B35:D35)</f>
        <v>0</v>
      </c>
      <c r="C37" s="218"/>
      <c r="D37" s="218"/>
      <c r="E37" s="220"/>
      <c r="I37" s="59" t="s">
        <v>258</v>
      </c>
      <c r="J37" s="163">
        <f>MAX(J35:L35)</f>
        <v>0</v>
      </c>
      <c r="K37" s="218"/>
      <c r="L37" s="218"/>
      <c r="M37" s="220"/>
    </row>
    <row r="38" spans="1:15" ht="15" customHeight="1" x14ac:dyDescent="0.25"/>
    <row r="39" spans="1:15" ht="18.75" hidden="1" customHeight="1" x14ac:dyDescent="0.25">
      <c r="A39" s="196" t="s">
        <v>4</v>
      </c>
      <c r="B39" s="199" t="s">
        <v>41</v>
      </c>
      <c r="C39" s="200"/>
      <c r="D39" s="164" t="e">
        <f>IF($B$30&gt;=F39,1,0)</f>
        <v>#DIV/0!</v>
      </c>
      <c r="E39" s="164" t="s">
        <v>42</v>
      </c>
      <c r="F39" s="165">
        <f>Yeterlikler!E8</f>
        <v>371475000</v>
      </c>
      <c r="G39" s="164">
        <f>IF($B$37&gt;=I39,1,0)</f>
        <v>0</v>
      </c>
      <c r="H39" s="164" t="s">
        <v>42</v>
      </c>
      <c r="I39" s="166">
        <f>F39*0.8</f>
        <v>297180000</v>
      </c>
      <c r="J39" s="164" t="e">
        <f>IF($J$30&gt;=L39,1,0)</f>
        <v>#DIV/0!</v>
      </c>
      <c r="K39" s="164" t="s">
        <v>42</v>
      </c>
      <c r="L39" s="165">
        <f>Yeterlikler!E8</f>
        <v>371475000</v>
      </c>
      <c r="M39" s="164">
        <f>IF($J$37&gt;=O39,1,0)</f>
        <v>0</v>
      </c>
      <c r="N39" s="164" t="s">
        <v>42</v>
      </c>
      <c r="O39" s="166">
        <f>L39*0.8</f>
        <v>297180000</v>
      </c>
    </row>
    <row r="40" spans="1:15" ht="18.75" hidden="1" customHeight="1" x14ac:dyDescent="0.25">
      <c r="A40" s="197"/>
      <c r="B40" s="201"/>
      <c r="C40" s="202"/>
      <c r="D40" s="164" t="e">
        <f t="shared" ref="D40:D47" si="0">IF($B$30&gt;=F40,1,0)</f>
        <v>#DIV/0!</v>
      </c>
      <c r="E40" s="164" t="s">
        <v>43</v>
      </c>
      <c r="F40" s="165">
        <f>Yeterlikler!E9</f>
        <v>260032500</v>
      </c>
      <c r="G40" s="164">
        <f t="shared" ref="G40:G47" si="1">IF($B$37&gt;=I40,1,0)</f>
        <v>0</v>
      </c>
      <c r="H40" s="164" t="s">
        <v>43</v>
      </c>
      <c r="I40" s="166">
        <f t="shared" ref="I40:I47" si="2">F40*0.8</f>
        <v>208026000</v>
      </c>
      <c r="J40" s="164" t="e">
        <f t="shared" ref="J40:J47" si="3">IF($J$30&gt;=L40,1,0)</f>
        <v>#DIV/0!</v>
      </c>
      <c r="K40" s="164" t="s">
        <v>43</v>
      </c>
      <c r="L40" s="165">
        <f>Yeterlikler!E9</f>
        <v>260032500</v>
      </c>
      <c r="M40" s="164">
        <f t="shared" ref="M40:M47" si="4">IF($J$37&gt;=O40,1,0)</f>
        <v>0</v>
      </c>
      <c r="N40" s="164" t="s">
        <v>43</v>
      </c>
      <c r="O40" s="166">
        <f t="shared" ref="O40:O47" si="5">L40*0.8</f>
        <v>208026000</v>
      </c>
    </row>
    <row r="41" spans="1:15" ht="18.75" hidden="1" customHeight="1" x14ac:dyDescent="0.25">
      <c r="A41" s="197"/>
      <c r="B41" s="203"/>
      <c r="C41" s="204"/>
      <c r="D41" s="164" t="e">
        <f t="shared" si="0"/>
        <v>#DIV/0!</v>
      </c>
      <c r="E41" s="164" t="s">
        <v>44</v>
      </c>
      <c r="F41" s="165">
        <f>Yeterlikler!E10</f>
        <v>222885000</v>
      </c>
      <c r="G41" s="164">
        <f t="shared" si="1"/>
        <v>0</v>
      </c>
      <c r="H41" s="164" t="s">
        <v>44</v>
      </c>
      <c r="I41" s="166">
        <f t="shared" si="2"/>
        <v>178308000</v>
      </c>
      <c r="J41" s="164" t="e">
        <f t="shared" si="3"/>
        <v>#DIV/0!</v>
      </c>
      <c r="K41" s="164" t="s">
        <v>44</v>
      </c>
      <c r="L41" s="165">
        <f>Yeterlikler!E10</f>
        <v>222885000</v>
      </c>
      <c r="M41" s="164">
        <f t="shared" si="4"/>
        <v>0</v>
      </c>
      <c r="N41" s="164" t="s">
        <v>44</v>
      </c>
      <c r="O41" s="166">
        <f t="shared" si="5"/>
        <v>178308000</v>
      </c>
    </row>
    <row r="42" spans="1:15" ht="18.75" hidden="1" customHeight="1" x14ac:dyDescent="0.25">
      <c r="A42" s="197"/>
      <c r="B42" s="205" t="s">
        <v>45</v>
      </c>
      <c r="C42" s="205" t="s">
        <v>46</v>
      </c>
      <c r="D42" s="164" t="e">
        <f t="shared" si="0"/>
        <v>#DIV/0!</v>
      </c>
      <c r="E42" s="164" t="s">
        <v>47</v>
      </c>
      <c r="F42" s="165">
        <f>Yeterlikler!E11</f>
        <v>185737500</v>
      </c>
      <c r="G42" s="164">
        <f t="shared" si="1"/>
        <v>0</v>
      </c>
      <c r="H42" s="164" t="s">
        <v>47</v>
      </c>
      <c r="I42" s="166">
        <f t="shared" si="2"/>
        <v>148590000</v>
      </c>
      <c r="J42" s="164" t="e">
        <f t="shared" si="3"/>
        <v>#DIV/0!</v>
      </c>
      <c r="K42" s="164" t="s">
        <v>47</v>
      </c>
      <c r="L42" s="165">
        <f>Yeterlikler!E11</f>
        <v>185737500</v>
      </c>
      <c r="M42" s="164">
        <f t="shared" si="4"/>
        <v>0</v>
      </c>
      <c r="N42" s="164" t="s">
        <v>47</v>
      </c>
      <c r="O42" s="166">
        <f t="shared" si="5"/>
        <v>148590000</v>
      </c>
    </row>
    <row r="43" spans="1:15" ht="18.75" hidden="1" customHeight="1" x14ac:dyDescent="0.25">
      <c r="A43" s="198"/>
      <c r="B43" s="206"/>
      <c r="C43" s="206"/>
      <c r="D43" s="164" t="e">
        <f t="shared" si="0"/>
        <v>#DIV/0!</v>
      </c>
      <c r="E43" s="164" t="s">
        <v>48</v>
      </c>
      <c r="F43" s="165">
        <f>Yeterlikler!E12</f>
        <v>154781250</v>
      </c>
      <c r="G43" s="164">
        <f t="shared" si="1"/>
        <v>0</v>
      </c>
      <c r="H43" s="164" t="s">
        <v>48</v>
      </c>
      <c r="I43" s="166">
        <f t="shared" si="2"/>
        <v>123825000</v>
      </c>
      <c r="J43" s="164" t="e">
        <f t="shared" si="3"/>
        <v>#DIV/0!</v>
      </c>
      <c r="K43" s="164" t="s">
        <v>48</v>
      </c>
      <c r="L43" s="165">
        <f>Yeterlikler!E12</f>
        <v>154781250</v>
      </c>
      <c r="M43" s="164">
        <f t="shared" si="4"/>
        <v>0</v>
      </c>
      <c r="N43" s="164" t="s">
        <v>48</v>
      </c>
      <c r="O43" s="166">
        <f t="shared" si="5"/>
        <v>123825000</v>
      </c>
    </row>
    <row r="44" spans="1:15" ht="18.75" hidden="1" customHeight="1" x14ac:dyDescent="0.25">
      <c r="A44" s="207" t="s">
        <v>42</v>
      </c>
      <c r="B44" s="210">
        <f>Yeterlikler!E8</f>
        <v>371475000</v>
      </c>
      <c r="C44" s="213">
        <f>B44*0.8</f>
        <v>297180000</v>
      </c>
      <c r="D44" s="164" t="e">
        <f t="shared" si="0"/>
        <v>#DIV/0!</v>
      </c>
      <c r="E44" s="164" t="s">
        <v>49</v>
      </c>
      <c r="F44" s="165">
        <f>Yeterlikler!E13</f>
        <v>123825000</v>
      </c>
      <c r="G44" s="164">
        <f t="shared" si="1"/>
        <v>0</v>
      </c>
      <c r="H44" s="164" t="s">
        <v>49</v>
      </c>
      <c r="I44" s="166">
        <f t="shared" si="2"/>
        <v>99060000</v>
      </c>
      <c r="J44" s="164" t="e">
        <f t="shared" si="3"/>
        <v>#DIV/0!</v>
      </c>
      <c r="K44" s="164" t="s">
        <v>49</v>
      </c>
      <c r="L44" s="165">
        <f>Yeterlikler!E13</f>
        <v>123825000</v>
      </c>
      <c r="M44" s="164">
        <f t="shared" si="4"/>
        <v>0</v>
      </c>
      <c r="N44" s="164" t="s">
        <v>49</v>
      </c>
      <c r="O44" s="166">
        <f t="shared" si="5"/>
        <v>99060000</v>
      </c>
    </row>
    <row r="45" spans="1:15" ht="18.75" hidden="1" customHeight="1" x14ac:dyDescent="0.25">
      <c r="A45" s="208"/>
      <c r="B45" s="211"/>
      <c r="C45" s="214"/>
      <c r="D45" s="164" t="e">
        <f t="shared" si="0"/>
        <v>#DIV/0!</v>
      </c>
      <c r="E45" s="164" t="s">
        <v>33</v>
      </c>
      <c r="F45" s="165">
        <f>Yeterlikler!E14</f>
        <v>92868750</v>
      </c>
      <c r="G45" s="164">
        <f t="shared" si="1"/>
        <v>0</v>
      </c>
      <c r="H45" s="164" t="s">
        <v>33</v>
      </c>
      <c r="I45" s="166">
        <f t="shared" si="2"/>
        <v>74295000</v>
      </c>
      <c r="J45" s="164" t="e">
        <f t="shared" si="3"/>
        <v>#DIV/0!</v>
      </c>
      <c r="K45" s="164" t="s">
        <v>33</v>
      </c>
      <c r="L45" s="165">
        <f>Yeterlikler!E14</f>
        <v>92868750</v>
      </c>
      <c r="M45" s="164">
        <f t="shared" si="4"/>
        <v>0</v>
      </c>
      <c r="N45" s="164" t="s">
        <v>33</v>
      </c>
      <c r="O45" s="166">
        <f t="shared" si="5"/>
        <v>74295000</v>
      </c>
    </row>
    <row r="46" spans="1:15" ht="18.75" hidden="1" customHeight="1" x14ac:dyDescent="0.25">
      <c r="A46" s="208"/>
      <c r="B46" s="211"/>
      <c r="C46" s="214"/>
      <c r="D46" s="164" t="e">
        <f t="shared" si="0"/>
        <v>#DIV/0!</v>
      </c>
      <c r="E46" s="164" t="s">
        <v>1</v>
      </c>
      <c r="F46" s="165">
        <f>Yeterlikler!E15</f>
        <v>41275000</v>
      </c>
      <c r="G46" s="164">
        <f t="shared" si="1"/>
        <v>0</v>
      </c>
      <c r="H46" s="164" t="s">
        <v>1</v>
      </c>
      <c r="I46" s="166">
        <f t="shared" si="2"/>
        <v>33020000</v>
      </c>
      <c r="J46" s="164" t="e">
        <f t="shared" si="3"/>
        <v>#DIV/0!</v>
      </c>
      <c r="K46" s="164" t="s">
        <v>1</v>
      </c>
      <c r="L46" s="165">
        <f>Yeterlikler!E15</f>
        <v>41275000</v>
      </c>
      <c r="M46" s="164">
        <f t="shared" si="4"/>
        <v>0</v>
      </c>
      <c r="N46" s="164" t="s">
        <v>1</v>
      </c>
      <c r="O46" s="166">
        <f t="shared" si="5"/>
        <v>33020000</v>
      </c>
    </row>
    <row r="47" spans="1:15" ht="18.75" hidden="1" customHeight="1" x14ac:dyDescent="0.25">
      <c r="A47" s="208"/>
      <c r="B47" s="211"/>
      <c r="C47" s="214"/>
      <c r="D47" s="164" t="e">
        <f t="shared" si="0"/>
        <v>#DIV/0!</v>
      </c>
      <c r="E47" s="164" t="s">
        <v>3</v>
      </c>
      <c r="F47" s="165">
        <f>Yeterlikler!E16</f>
        <v>24765000</v>
      </c>
      <c r="G47" s="164">
        <f t="shared" si="1"/>
        <v>0</v>
      </c>
      <c r="H47" s="164" t="s">
        <v>3</v>
      </c>
      <c r="I47" s="166">
        <f t="shared" si="2"/>
        <v>19812000</v>
      </c>
      <c r="J47" s="164" t="e">
        <f t="shared" si="3"/>
        <v>#DIV/0!</v>
      </c>
      <c r="K47" s="164" t="s">
        <v>3</v>
      </c>
      <c r="L47" s="165">
        <f>Yeterlikler!E16</f>
        <v>24765000</v>
      </c>
      <c r="M47" s="164">
        <f t="shared" si="4"/>
        <v>0</v>
      </c>
      <c r="N47" s="164" t="s">
        <v>3</v>
      </c>
      <c r="O47" s="166">
        <f t="shared" si="5"/>
        <v>19812000</v>
      </c>
    </row>
    <row r="48" spans="1:15" ht="18.75" hidden="1" customHeight="1" x14ac:dyDescent="0.25">
      <c r="A48" s="209"/>
      <c r="B48" s="212"/>
      <c r="C48" s="215"/>
      <c r="D48" s="164">
        <v>1</v>
      </c>
      <c r="E48" s="164"/>
      <c r="F48" s="164"/>
      <c r="G48" s="25">
        <v>1</v>
      </c>
      <c r="J48" s="164">
        <v>1</v>
      </c>
      <c r="K48" s="164"/>
      <c r="L48" s="164"/>
      <c r="M48" s="25">
        <v>1</v>
      </c>
    </row>
    <row r="49" spans="1:6" ht="5.0999999999999996" hidden="1" customHeight="1" x14ac:dyDescent="0.25">
      <c r="A49" s="207" t="s">
        <v>43</v>
      </c>
      <c r="B49" s="210">
        <f>Yeterlikler!E9</f>
        <v>260032500</v>
      </c>
      <c r="C49" s="213">
        <f t="shared" ref="C49" si="6">B49*0.8</f>
        <v>208026000</v>
      </c>
      <c r="D49" s="164"/>
      <c r="E49" s="164"/>
      <c r="F49" s="164"/>
    </row>
    <row r="50" spans="1:6" ht="5.0999999999999996" hidden="1" customHeight="1" x14ac:dyDescent="0.25">
      <c r="A50" s="208"/>
      <c r="B50" s="211"/>
      <c r="C50" s="214"/>
      <c r="D50" s="164"/>
      <c r="E50" s="164"/>
      <c r="F50" s="164"/>
    </row>
    <row r="51" spans="1:6" ht="5.0999999999999996" hidden="1" customHeight="1" x14ac:dyDescent="0.25">
      <c r="A51" s="208"/>
      <c r="B51" s="211"/>
      <c r="C51" s="214"/>
      <c r="D51" s="164"/>
      <c r="E51" s="164"/>
      <c r="F51" s="164"/>
    </row>
    <row r="52" spans="1:6" ht="5.0999999999999996" hidden="1" customHeight="1" x14ac:dyDescent="0.25">
      <c r="A52" s="208"/>
      <c r="B52" s="211"/>
      <c r="C52" s="214"/>
      <c r="D52" s="164"/>
      <c r="E52" s="164"/>
      <c r="F52" s="164"/>
    </row>
    <row r="53" spans="1:6" ht="5.0999999999999996" hidden="1" customHeight="1" x14ac:dyDescent="0.25">
      <c r="A53" s="209"/>
      <c r="B53" s="212"/>
      <c r="C53" s="215"/>
    </row>
    <row r="54" spans="1:6" ht="5.0999999999999996" hidden="1" customHeight="1" x14ac:dyDescent="0.25">
      <c r="A54" s="207" t="s">
        <v>44</v>
      </c>
      <c r="B54" s="210">
        <f>Yeterlikler!E10</f>
        <v>222885000</v>
      </c>
      <c r="C54" s="213">
        <f t="shared" ref="C54" si="7">B54*0.8</f>
        <v>178308000</v>
      </c>
    </row>
    <row r="55" spans="1:6" ht="5.0999999999999996" hidden="1" customHeight="1" x14ac:dyDescent="0.25">
      <c r="A55" s="208"/>
      <c r="B55" s="211"/>
      <c r="C55" s="214"/>
    </row>
    <row r="56" spans="1:6" ht="5.0999999999999996" hidden="1" customHeight="1" x14ac:dyDescent="0.25">
      <c r="A56" s="208"/>
      <c r="B56" s="211"/>
      <c r="C56" s="214"/>
    </row>
    <row r="57" spans="1:6" ht="5.0999999999999996" hidden="1" customHeight="1" x14ac:dyDescent="0.25">
      <c r="A57" s="208"/>
      <c r="B57" s="211"/>
      <c r="C57" s="214"/>
    </row>
    <row r="58" spans="1:6" ht="5.0999999999999996" hidden="1" customHeight="1" x14ac:dyDescent="0.25">
      <c r="A58" s="209"/>
      <c r="B58" s="212"/>
      <c r="C58" s="215"/>
    </row>
    <row r="59" spans="1:6" ht="5.0999999999999996" hidden="1" customHeight="1" x14ac:dyDescent="0.25">
      <c r="A59" s="207" t="s">
        <v>47</v>
      </c>
      <c r="B59" s="210">
        <f>Yeterlikler!E11</f>
        <v>185737500</v>
      </c>
      <c r="C59" s="213">
        <f t="shared" ref="C59" si="8">B59*0.8</f>
        <v>148590000</v>
      </c>
    </row>
    <row r="60" spans="1:6" ht="5.0999999999999996" hidden="1" customHeight="1" x14ac:dyDescent="0.25">
      <c r="A60" s="208"/>
      <c r="B60" s="211"/>
      <c r="C60" s="214"/>
    </row>
    <row r="61" spans="1:6" ht="5.0999999999999996" hidden="1" customHeight="1" x14ac:dyDescent="0.25">
      <c r="A61" s="208"/>
      <c r="B61" s="211"/>
      <c r="C61" s="214"/>
    </row>
    <row r="62" spans="1:6" ht="5.0999999999999996" hidden="1" customHeight="1" x14ac:dyDescent="0.25">
      <c r="A62" s="208"/>
      <c r="B62" s="211"/>
      <c r="C62" s="214"/>
    </row>
    <row r="63" spans="1:6" ht="5.0999999999999996" hidden="1" customHeight="1" x14ac:dyDescent="0.25">
      <c r="A63" s="209"/>
      <c r="B63" s="212"/>
      <c r="C63" s="215"/>
    </row>
    <row r="64" spans="1:6" ht="5.0999999999999996" hidden="1" customHeight="1" x14ac:dyDescent="0.25">
      <c r="A64" s="207" t="s">
        <v>48</v>
      </c>
      <c r="B64" s="210">
        <f>Yeterlikler!E12</f>
        <v>154781250</v>
      </c>
      <c r="C64" s="213">
        <f t="shared" ref="C64" si="9">B64*0.8</f>
        <v>123825000</v>
      </c>
    </row>
    <row r="65" spans="1:3" ht="5.0999999999999996" hidden="1" customHeight="1" x14ac:dyDescent="0.25">
      <c r="A65" s="208"/>
      <c r="B65" s="211"/>
      <c r="C65" s="214"/>
    </row>
    <row r="66" spans="1:3" ht="5.0999999999999996" hidden="1" customHeight="1" x14ac:dyDescent="0.25">
      <c r="A66" s="208"/>
      <c r="B66" s="211"/>
      <c r="C66" s="214"/>
    </row>
    <row r="67" spans="1:3" ht="5.0999999999999996" hidden="1" customHeight="1" x14ac:dyDescent="0.25">
      <c r="A67" s="208"/>
      <c r="B67" s="211"/>
      <c r="C67" s="214"/>
    </row>
    <row r="68" spans="1:3" ht="5.0999999999999996" hidden="1" customHeight="1" x14ac:dyDescent="0.25">
      <c r="A68" s="209"/>
      <c r="B68" s="212"/>
      <c r="C68" s="215"/>
    </row>
    <row r="69" spans="1:3" ht="5.0999999999999996" hidden="1" customHeight="1" x14ac:dyDescent="0.25">
      <c r="A69" s="207" t="s">
        <v>49</v>
      </c>
      <c r="B69" s="210">
        <f>Yeterlikler!E13</f>
        <v>123825000</v>
      </c>
      <c r="C69" s="213">
        <f t="shared" ref="C69" si="10">B69*0.8</f>
        <v>99060000</v>
      </c>
    </row>
    <row r="70" spans="1:3" ht="5.0999999999999996" hidden="1" customHeight="1" x14ac:dyDescent="0.25">
      <c r="A70" s="208"/>
      <c r="B70" s="211"/>
      <c r="C70" s="214"/>
    </row>
    <row r="71" spans="1:3" ht="5.0999999999999996" hidden="1" customHeight="1" x14ac:dyDescent="0.25">
      <c r="A71" s="208"/>
      <c r="B71" s="211"/>
      <c r="C71" s="214"/>
    </row>
    <row r="72" spans="1:3" ht="5.0999999999999996" hidden="1" customHeight="1" x14ac:dyDescent="0.25">
      <c r="A72" s="208"/>
      <c r="B72" s="211"/>
      <c r="C72" s="214"/>
    </row>
    <row r="73" spans="1:3" ht="5.0999999999999996" hidden="1" customHeight="1" x14ac:dyDescent="0.25">
      <c r="A73" s="209"/>
      <c r="B73" s="212"/>
      <c r="C73" s="215"/>
    </row>
    <row r="74" spans="1:3" ht="5.0999999999999996" hidden="1" customHeight="1" x14ac:dyDescent="0.25">
      <c r="A74" s="207" t="s">
        <v>33</v>
      </c>
      <c r="B74" s="210">
        <f>Yeterlikler!E14</f>
        <v>92868750</v>
      </c>
      <c r="C74" s="213">
        <f t="shared" ref="C74" si="11">B74*0.8</f>
        <v>74295000</v>
      </c>
    </row>
    <row r="75" spans="1:3" ht="5.0999999999999996" hidden="1" customHeight="1" x14ac:dyDescent="0.25">
      <c r="A75" s="208"/>
      <c r="B75" s="211"/>
      <c r="C75" s="214"/>
    </row>
    <row r="76" spans="1:3" ht="5.0999999999999996" hidden="1" customHeight="1" x14ac:dyDescent="0.25">
      <c r="A76" s="208"/>
      <c r="B76" s="211"/>
      <c r="C76" s="214"/>
    </row>
    <row r="77" spans="1:3" ht="5.0999999999999996" hidden="1" customHeight="1" x14ac:dyDescent="0.25">
      <c r="A77" s="208"/>
      <c r="B77" s="211"/>
      <c r="C77" s="214"/>
    </row>
    <row r="78" spans="1:3" ht="5.0999999999999996" hidden="1" customHeight="1" x14ac:dyDescent="0.25">
      <c r="A78" s="209"/>
      <c r="B78" s="212"/>
      <c r="C78" s="215"/>
    </row>
    <row r="79" spans="1:3" ht="5.0999999999999996" hidden="1" customHeight="1" x14ac:dyDescent="0.25">
      <c r="A79" s="207" t="s">
        <v>1</v>
      </c>
      <c r="B79" s="210">
        <f>Yeterlikler!E15</f>
        <v>41275000</v>
      </c>
      <c r="C79" s="213">
        <f t="shared" ref="C79" si="12">B79*0.8</f>
        <v>33020000</v>
      </c>
    </row>
    <row r="80" spans="1:3" ht="5.0999999999999996" hidden="1" customHeight="1" x14ac:dyDescent="0.25">
      <c r="A80" s="208"/>
      <c r="B80" s="211"/>
      <c r="C80" s="214"/>
    </row>
    <row r="81" spans="1:3" ht="5.0999999999999996" hidden="1" customHeight="1" x14ac:dyDescent="0.25">
      <c r="A81" s="208"/>
      <c r="B81" s="211"/>
      <c r="C81" s="214"/>
    </row>
    <row r="82" spans="1:3" ht="5.0999999999999996" hidden="1" customHeight="1" x14ac:dyDescent="0.25">
      <c r="A82" s="208"/>
      <c r="B82" s="211"/>
      <c r="C82" s="214"/>
    </row>
    <row r="83" spans="1:3" ht="5.0999999999999996" hidden="1" customHeight="1" x14ac:dyDescent="0.25">
      <c r="A83" s="209"/>
      <c r="B83" s="212"/>
      <c r="C83" s="215"/>
    </row>
    <row r="84" spans="1:3" ht="5.0999999999999996" hidden="1" customHeight="1" x14ac:dyDescent="0.25">
      <c r="A84" s="207" t="s">
        <v>3</v>
      </c>
      <c r="B84" s="210">
        <f>Yeterlikler!E16</f>
        <v>24765000</v>
      </c>
      <c r="C84" s="213">
        <f t="shared" ref="C84" si="13">B84*0.8</f>
        <v>19812000</v>
      </c>
    </row>
    <row r="85" spans="1:3" ht="5.0999999999999996" hidden="1" customHeight="1" x14ac:dyDescent="0.25">
      <c r="A85" s="208"/>
      <c r="B85" s="211"/>
      <c r="C85" s="214"/>
    </row>
    <row r="86" spans="1:3" ht="5.0999999999999996" hidden="1" customHeight="1" x14ac:dyDescent="0.25">
      <c r="A86" s="208"/>
      <c r="B86" s="211"/>
      <c r="C86" s="214"/>
    </row>
    <row r="87" spans="1:3" ht="5.0999999999999996" hidden="1" customHeight="1" x14ac:dyDescent="0.25">
      <c r="A87" s="208"/>
      <c r="B87" s="211"/>
      <c r="C87" s="214"/>
    </row>
    <row r="88" spans="1:3" ht="5.0999999999999996" hidden="1" customHeight="1" x14ac:dyDescent="0.25">
      <c r="A88" s="209"/>
      <c r="B88" s="212"/>
      <c r="C88" s="215"/>
    </row>
  </sheetData>
  <sheetProtection algorithmName="SHA-512" hashValue="TkOgrCD8kh792zsPFAhjl6/zT0NgVRQzwcohGDoX6MjFT+EEhOMrPS6Pgir1IC3ATT/s6FR/iZBgprhd+UVOjw==" saltValue="Hiq57rRRXBHTV9BYh8jPRA==" spinCount="100000" sheet="1" objects="1" scenarios="1"/>
  <mergeCells count="48">
    <mergeCell ref="K36:L37"/>
    <mergeCell ref="I3:L3"/>
    <mergeCell ref="A3:D3"/>
    <mergeCell ref="M36:M37"/>
    <mergeCell ref="I10:O10"/>
    <mergeCell ref="K14:L14"/>
    <mergeCell ref="I17:O17"/>
    <mergeCell ref="K30:L31"/>
    <mergeCell ref="M30:M31"/>
    <mergeCell ref="C36:D37"/>
    <mergeCell ref="E36:E37"/>
    <mergeCell ref="A59:A63"/>
    <mergeCell ref="B59:B63"/>
    <mergeCell ref="C59:C63"/>
    <mergeCell ref="A64:A68"/>
    <mergeCell ref="B64:B68"/>
    <mergeCell ref="C64:C68"/>
    <mergeCell ref="A49:A53"/>
    <mergeCell ref="B49:B53"/>
    <mergeCell ref="C49:C53"/>
    <mergeCell ref="A54:A58"/>
    <mergeCell ref="B54:B58"/>
    <mergeCell ref="C54:C58"/>
    <mergeCell ref="A84:A88"/>
    <mergeCell ref="B84:B88"/>
    <mergeCell ref="C84:C88"/>
    <mergeCell ref="A69:A73"/>
    <mergeCell ref="B69:B73"/>
    <mergeCell ref="C69:C73"/>
    <mergeCell ref="A74:A78"/>
    <mergeCell ref="B74:B78"/>
    <mergeCell ref="C74:C78"/>
    <mergeCell ref="A79:A83"/>
    <mergeCell ref="B79:B83"/>
    <mergeCell ref="C79:C83"/>
    <mergeCell ref="A39:A43"/>
    <mergeCell ref="B39:C41"/>
    <mergeCell ref="B42:B43"/>
    <mergeCell ref="C42:C43"/>
    <mergeCell ref="A44:A48"/>
    <mergeCell ref="B44:B48"/>
    <mergeCell ref="C44:C48"/>
    <mergeCell ref="A1:G1"/>
    <mergeCell ref="A10:G10"/>
    <mergeCell ref="C30:D31"/>
    <mergeCell ref="E30:E31"/>
    <mergeCell ref="C14:D14"/>
    <mergeCell ref="A17:G17"/>
  </mergeCells>
  <dataValidations disablePrompts="1" count="1">
    <dataValidation type="list" allowBlank="1" showInputMessage="1" showErrorMessage="1" sqref="B14 J14" xr:uid="{00000000-0002-0000-0200-000000000000}">
      <formula1>$E$39:$E$47</formula1>
    </dataValidation>
  </dataValidation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218"/>
  <sheetViews>
    <sheetView tabSelected="1" zoomScale="85" zoomScaleNormal="85" workbookViewId="0">
      <selection activeCell="D15" sqref="D15:F15"/>
    </sheetView>
  </sheetViews>
  <sheetFormatPr defaultRowHeight="15" x14ac:dyDescent="0.25"/>
  <cols>
    <col min="1" max="1" width="15.5703125" style="25" customWidth="1"/>
    <col min="2" max="2" width="14.5703125" style="25" customWidth="1"/>
    <col min="3" max="16" width="8.7109375" style="25" customWidth="1"/>
    <col min="17" max="17" width="10.85546875" style="25" hidden="1" customWidth="1"/>
    <col min="18" max="18" width="10.140625" style="25" hidden="1" customWidth="1"/>
    <col min="19" max="19" width="11.28515625" style="25" hidden="1" customWidth="1"/>
    <col min="20" max="21" width="8.7109375" style="25" hidden="1" customWidth="1"/>
    <col min="22" max="22" width="10" style="25" hidden="1" customWidth="1"/>
    <col min="23" max="24" width="8.7109375" style="25" hidden="1" customWidth="1"/>
    <col min="25" max="25" width="9.42578125" style="25" hidden="1" customWidth="1"/>
    <col min="26" max="26" width="10.28515625" style="25" hidden="1" customWidth="1"/>
    <col min="27" max="27" width="9.42578125" style="25" hidden="1" customWidth="1"/>
    <col min="28" max="28" width="9.5703125" style="25" hidden="1" customWidth="1"/>
    <col min="29" max="29" width="7.85546875" style="25" hidden="1" customWidth="1"/>
    <col min="30" max="31" width="6.7109375" style="25" hidden="1" customWidth="1"/>
    <col min="32" max="34" width="9.5703125" style="25" hidden="1" customWidth="1"/>
    <col min="35" max="35" width="6.7109375" style="25" hidden="1" customWidth="1"/>
    <col min="36" max="36" width="0" style="25" hidden="1" customWidth="1"/>
    <col min="37" max="16384" width="9.140625" style="25"/>
  </cols>
  <sheetData>
    <row r="1" spans="1:35" ht="12.95" customHeight="1" x14ac:dyDescent="0.25">
      <c r="A1" s="263" t="s">
        <v>111</v>
      </c>
      <c r="B1" s="264"/>
      <c r="C1" s="264"/>
      <c r="D1" s="264"/>
      <c r="E1" s="264"/>
      <c r="F1" s="264"/>
      <c r="G1" s="264"/>
      <c r="H1" s="264"/>
      <c r="I1" s="264"/>
      <c r="J1" s="264"/>
      <c r="K1" s="264"/>
      <c r="L1" s="264"/>
      <c r="M1" s="264"/>
      <c r="N1" s="264"/>
      <c r="O1" s="265"/>
      <c r="P1" s="266"/>
      <c r="Q1" s="350" t="s">
        <v>50</v>
      </c>
      <c r="R1" s="350"/>
      <c r="S1" s="350"/>
      <c r="T1" s="350"/>
      <c r="U1" s="350"/>
      <c r="V1" s="350"/>
      <c r="W1" s="350"/>
      <c r="X1" s="350"/>
      <c r="Y1" s="350"/>
      <c r="Z1" s="350"/>
      <c r="AA1" s="350"/>
      <c r="AB1" s="350"/>
      <c r="AC1" s="350"/>
      <c r="AD1" s="350"/>
      <c r="AE1" s="350"/>
      <c r="AF1" s="350"/>
    </row>
    <row r="2" spans="1:35" ht="12.95" customHeight="1" x14ac:dyDescent="0.25">
      <c r="A2" s="332" t="s">
        <v>103</v>
      </c>
      <c r="B2" s="333"/>
      <c r="C2" s="333"/>
      <c r="D2" s="334"/>
      <c r="E2" s="353">
        <v>1</v>
      </c>
      <c r="F2" s="334"/>
      <c r="G2" s="353">
        <v>2</v>
      </c>
      <c r="H2" s="334"/>
      <c r="I2" s="353">
        <v>3</v>
      </c>
      <c r="J2" s="334"/>
      <c r="K2" s="353">
        <v>4</v>
      </c>
      <c r="L2" s="334"/>
      <c r="M2" s="353">
        <v>5</v>
      </c>
      <c r="N2" s="334"/>
      <c r="O2" s="353">
        <v>6</v>
      </c>
      <c r="P2" s="354"/>
      <c r="Q2" s="351" t="s">
        <v>243</v>
      </c>
      <c r="R2" s="371" t="s">
        <v>52</v>
      </c>
      <c r="S2" s="26" t="s">
        <v>53</v>
      </c>
      <c r="T2" s="27" t="s">
        <v>263</v>
      </c>
      <c r="U2" s="27" t="s">
        <v>264</v>
      </c>
      <c r="V2" s="27" t="s">
        <v>265</v>
      </c>
      <c r="W2" s="27" t="s">
        <v>54</v>
      </c>
      <c r="X2" s="27" t="s">
        <v>55</v>
      </c>
      <c r="Y2" s="27" t="s">
        <v>56</v>
      </c>
      <c r="Z2" s="27" t="s">
        <v>57</v>
      </c>
      <c r="AA2" s="27" t="s">
        <v>58</v>
      </c>
      <c r="AB2" s="27" t="s">
        <v>100</v>
      </c>
      <c r="AC2" s="27" t="s">
        <v>59</v>
      </c>
      <c r="AD2" s="27" t="s">
        <v>60</v>
      </c>
      <c r="AE2" s="27" t="s">
        <v>61</v>
      </c>
      <c r="AF2" s="27" t="s">
        <v>62</v>
      </c>
      <c r="AG2" s="27" t="s">
        <v>63</v>
      </c>
      <c r="AH2" s="27" t="s">
        <v>64</v>
      </c>
      <c r="AI2" s="27" t="s">
        <v>65</v>
      </c>
    </row>
    <row r="3" spans="1:35" x14ac:dyDescent="0.25">
      <c r="A3" s="267" t="s">
        <v>313</v>
      </c>
      <c r="B3" s="268"/>
      <c r="C3" s="268"/>
      <c r="D3" s="269"/>
      <c r="E3" s="236">
        <v>42889</v>
      </c>
      <c r="F3" s="237"/>
      <c r="G3" s="356" t="s">
        <v>295</v>
      </c>
      <c r="H3" s="356"/>
      <c r="I3" s="356"/>
      <c r="J3" s="356"/>
      <c r="K3" s="356"/>
      <c r="L3" s="356"/>
      <c r="M3" s="356"/>
      <c r="N3" s="356"/>
      <c r="O3" s="356"/>
      <c r="P3" s="357"/>
      <c r="Q3" s="352"/>
      <c r="R3" s="372"/>
      <c r="S3" s="93" t="s">
        <v>66</v>
      </c>
      <c r="T3" s="27" t="s">
        <v>266</v>
      </c>
      <c r="U3" s="27" t="s">
        <v>267</v>
      </c>
      <c r="V3" s="27" t="s">
        <v>268</v>
      </c>
      <c r="W3" s="27" t="s">
        <v>67</v>
      </c>
      <c r="X3" s="27" t="s">
        <v>68</v>
      </c>
      <c r="Y3" s="27" t="s">
        <v>69</v>
      </c>
      <c r="Z3" s="27" t="s">
        <v>70</v>
      </c>
      <c r="AA3" s="27" t="s">
        <v>71</v>
      </c>
      <c r="AB3" s="27" t="s">
        <v>101</v>
      </c>
      <c r="AC3" s="27" t="s">
        <v>72</v>
      </c>
      <c r="AD3" s="27" t="s">
        <v>73</v>
      </c>
      <c r="AE3" s="27" t="s">
        <v>74</v>
      </c>
      <c r="AF3" s="27" t="s">
        <v>75</v>
      </c>
      <c r="AG3" s="27" t="s">
        <v>76</v>
      </c>
      <c r="AH3" s="27" t="s">
        <v>77</v>
      </c>
      <c r="AI3" s="27" t="s">
        <v>78</v>
      </c>
    </row>
    <row r="4" spans="1:35" x14ac:dyDescent="0.25">
      <c r="A4" s="254" t="s">
        <v>84</v>
      </c>
      <c r="B4" s="255"/>
      <c r="C4" s="255"/>
      <c r="D4" s="256"/>
      <c r="E4" s="330" t="s">
        <v>70</v>
      </c>
      <c r="F4" s="330"/>
      <c r="G4" s="330" t="s">
        <v>71</v>
      </c>
      <c r="H4" s="330"/>
      <c r="I4" s="330" t="s">
        <v>101</v>
      </c>
      <c r="J4" s="330"/>
      <c r="K4" s="330" t="s">
        <v>67</v>
      </c>
      <c r="L4" s="330"/>
      <c r="M4" s="330" t="s">
        <v>72</v>
      </c>
      <c r="N4" s="330"/>
      <c r="O4" s="330" t="s">
        <v>73</v>
      </c>
      <c r="P4" s="355"/>
      <c r="Q4" s="28">
        <v>39533</v>
      </c>
      <c r="R4" s="29">
        <v>39448</v>
      </c>
      <c r="S4" s="27">
        <v>2008</v>
      </c>
      <c r="T4" s="30">
        <v>65</v>
      </c>
      <c r="U4" s="30">
        <v>112</v>
      </c>
      <c r="V4" s="30">
        <v>0</v>
      </c>
      <c r="W4" s="30">
        <v>178</v>
      </c>
      <c r="X4" s="30">
        <v>245</v>
      </c>
      <c r="Y4" s="30">
        <v>0</v>
      </c>
      <c r="Z4" s="30">
        <v>399</v>
      </c>
      <c r="AA4" s="30">
        <v>455</v>
      </c>
      <c r="AB4" s="30">
        <v>0</v>
      </c>
      <c r="AC4" s="30">
        <v>513</v>
      </c>
      <c r="AD4" s="30">
        <v>568</v>
      </c>
      <c r="AE4" s="30">
        <v>682</v>
      </c>
      <c r="AF4" s="30">
        <v>846</v>
      </c>
      <c r="AG4" s="30">
        <v>1025</v>
      </c>
      <c r="AH4" s="30">
        <v>1169</v>
      </c>
      <c r="AI4" s="30">
        <v>1396</v>
      </c>
    </row>
    <row r="5" spans="1:35" ht="17.25" customHeight="1" x14ac:dyDescent="0.25">
      <c r="A5" s="254" t="s">
        <v>86</v>
      </c>
      <c r="B5" s="255"/>
      <c r="C5" s="255"/>
      <c r="D5" s="256"/>
      <c r="E5" s="331"/>
      <c r="F5" s="331"/>
      <c r="G5" s="340"/>
      <c r="H5" s="341"/>
      <c r="I5" s="331"/>
      <c r="J5" s="331"/>
      <c r="K5" s="331"/>
      <c r="L5" s="331"/>
      <c r="M5" s="331"/>
      <c r="N5" s="331"/>
      <c r="O5" s="331"/>
      <c r="P5" s="335"/>
      <c r="Q5" s="28">
        <v>39891</v>
      </c>
      <c r="R5" s="29">
        <v>39814</v>
      </c>
      <c r="S5" s="27">
        <v>2009</v>
      </c>
      <c r="T5" s="30">
        <v>71</v>
      </c>
      <c r="U5" s="30">
        <v>123</v>
      </c>
      <c r="V5" s="30">
        <v>0</v>
      </c>
      <c r="W5" s="30">
        <v>195</v>
      </c>
      <c r="X5" s="30">
        <v>268</v>
      </c>
      <c r="Y5" s="30">
        <v>0</v>
      </c>
      <c r="Z5" s="30">
        <v>437</v>
      </c>
      <c r="AA5" s="30">
        <v>498</v>
      </c>
      <c r="AB5" s="30">
        <v>0</v>
      </c>
      <c r="AC5" s="30">
        <v>561</v>
      </c>
      <c r="AD5" s="30">
        <v>622</v>
      </c>
      <c r="AE5" s="30">
        <v>746</v>
      </c>
      <c r="AF5" s="30">
        <v>926</v>
      </c>
      <c r="AG5" s="30">
        <v>1122</v>
      </c>
      <c r="AH5" s="30">
        <v>1279</v>
      </c>
      <c r="AI5" s="30">
        <v>1528</v>
      </c>
    </row>
    <row r="6" spans="1:35" x14ac:dyDescent="0.25">
      <c r="A6" s="254" t="s">
        <v>85</v>
      </c>
      <c r="B6" s="255"/>
      <c r="C6" s="255"/>
      <c r="D6" s="256"/>
      <c r="E6" s="257">
        <v>1</v>
      </c>
      <c r="F6" s="259"/>
      <c r="G6" s="257">
        <v>1</v>
      </c>
      <c r="H6" s="259"/>
      <c r="I6" s="257">
        <v>1</v>
      </c>
      <c r="J6" s="259"/>
      <c r="K6" s="257">
        <v>1</v>
      </c>
      <c r="L6" s="259"/>
      <c r="M6" s="257">
        <v>1</v>
      </c>
      <c r="N6" s="259"/>
      <c r="O6" s="257">
        <v>1</v>
      </c>
      <c r="P6" s="336"/>
      <c r="Q6" s="28">
        <v>40269</v>
      </c>
      <c r="R6" s="29">
        <v>40179</v>
      </c>
      <c r="S6" s="27">
        <v>2010</v>
      </c>
      <c r="T6" s="30">
        <v>73</v>
      </c>
      <c r="U6" s="30">
        <v>127</v>
      </c>
      <c r="V6" s="30">
        <v>0</v>
      </c>
      <c r="W6" s="30">
        <v>201</v>
      </c>
      <c r="X6" s="30">
        <v>276</v>
      </c>
      <c r="Y6" s="30">
        <v>0</v>
      </c>
      <c r="Z6" s="30">
        <v>448</v>
      </c>
      <c r="AA6" s="30">
        <v>511</v>
      </c>
      <c r="AB6" s="30">
        <v>0</v>
      </c>
      <c r="AC6" s="30">
        <v>577</v>
      </c>
      <c r="AD6" s="30">
        <v>640</v>
      </c>
      <c r="AE6" s="30">
        <v>761</v>
      </c>
      <c r="AF6" s="30">
        <v>945</v>
      </c>
      <c r="AG6" s="30">
        <v>1144</v>
      </c>
      <c r="AH6" s="30">
        <v>1279</v>
      </c>
      <c r="AI6" s="30">
        <v>1559</v>
      </c>
    </row>
    <row r="7" spans="1:35" x14ac:dyDescent="0.25">
      <c r="A7" s="254" t="s">
        <v>250</v>
      </c>
      <c r="B7" s="255"/>
      <c r="C7" s="255"/>
      <c r="D7" s="256"/>
      <c r="E7" s="284">
        <f>E9/0.85</f>
        <v>0</v>
      </c>
      <c r="F7" s="325"/>
      <c r="G7" s="325"/>
      <c r="H7" s="325"/>
      <c r="I7" s="326"/>
      <c r="J7" s="326"/>
      <c r="K7" s="326"/>
      <c r="L7" s="326"/>
      <c r="M7" s="326"/>
      <c r="N7" s="326"/>
      <c r="O7" s="326"/>
      <c r="P7" s="327"/>
      <c r="Q7" s="28">
        <v>40661</v>
      </c>
      <c r="R7" s="29">
        <v>40544</v>
      </c>
      <c r="S7" s="27">
        <v>2011</v>
      </c>
      <c r="T7" s="30">
        <v>80</v>
      </c>
      <c r="U7" s="30">
        <v>137</v>
      </c>
      <c r="V7" s="30">
        <v>0</v>
      </c>
      <c r="W7" s="30">
        <v>216</v>
      </c>
      <c r="X7" s="30">
        <v>297</v>
      </c>
      <c r="Y7" s="30">
        <v>343</v>
      </c>
      <c r="Z7" s="30">
        <v>482</v>
      </c>
      <c r="AA7" s="30">
        <v>565</v>
      </c>
      <c r="AB7" s="30">
        <v>0</v>
      </c>
      <c r="AC7" s="30">
        <v>625</v>
      </c>
      <c r="AD7" s="30">
        <v>701</v>
      </c>
      <c r="AE7" s="30">
        <v>819</v>
      </c>
      <c r="AF7" s="30">
        <v>1035</v>
      </c>
      <c r="AG7" s="30">
        <v>1235</v>
      </c>
      <c r="AH7" s="30">
        <v>1415</v>
      </c>
      <c r="AI7" s="30">
        <v>1710</v>
      </c>
    </row>
    <row r="8" spans="1:35" x14ac:dyDescent="0.25">
      <c r="A8" s="254" t="s">
        <v>90</v>
      </c>
      <c r="B8" s="255"/>
      <c r="C8" s="255"/>
      <c r="D8" s="256"/>
      <c r="E8" s="231">
        <f>E5*0.85*E6*HLOOKUP(E4,$S$3:$AI$25,MATCH(E3,$R$3:$R$25,1),FALSE)</f>
        <v>0</v>
      </c>
      <c r="F8" s="231"/>
      <c r="G8" s="231">
        <f>G5*0.85*G6*HLOOKUP(G4,$S$3:$AI$25,MATCH(E3,$R$3:$R$25,1),FALSE)</f>
        <v>0</v>
      </c>
      <c r="H8" s="231"/>
      <c r="I8" s="231">
        <f>I5*0.85*I6*HLOOKUP(I4,$S$3:$AI$25,MATCH(E3,$R$3:$R$25,1),FALSE)</f>
        <v>0</v>
      </c>
      <c r="J8" s="231"/>
      <c r="K8" s="231">
        <f>K5*0.85*K6*HLOOKUP(K4,$S$3:$AI$25,MATCH(E3,$R$3:$R$25,1),FALSE)</f>
        <v>0</v>
      </c>
      <c r="L8" s="231"/>
      <c r="M8" s="231">
        <f>M5*0.85*M6*HLOOKUP(M4,$S$3:$AI$25,MATCH(E3,$R$3:$R$25,1),FALSE)</f>
        <v>0</v>
      </c>
      <c r="N8" s="231"/>
      <c r="O8" s="231">
        <f>O5*0.85*O6*HLOOKUP(O4,$S$3:$AI$25,MATCH(E3,$R$3:$R$25,1),FALSE)</f>
        <v>0</v>
      </c>
      <c r="P8" s="232"/>
      <c r="Q8" s="28">
        <v>41027</v>
      </c>
      <c r="R8" s="29">
        <v>40909</v>
      </c>
      <c r="S8" s="27">
        <v>2012</v>
      </c>
      <c r="T8" s="30">
        <v>80</v>
      </c>
      <c r="U8" s="30">
        <v>140</v>
      </c>
      <c r="V8" s="30">
        <v>0</v>
      </c>
      <c r="W8" s="30">
        <v>225</v>
      </c>
      <c r="X8" s="30">
        <v>305</v>
      </c>
      <c r="Y8" s="30">
        <v>360</v>
      </c>
      <c r="Z8" s="30">
        <v>475</v>
      </c>
      <c r="AA8" s="30">
        <v>560</v>
      </c>
      <c r="AB8" s="30">
        <v>0</v>
      </c>
      <c r="AC8" s="30">
        <v>615</v>
      </c>
      <c r="AD8" s="30">
        <v>695</v>
      </c>
      <c r="AE8" s="30">
        <v>800</v>
      </c>
      <c r="AF8" s="30">
        <v>1015</v>
      </c>
      <c r="AG8" s="30">
        <v>1240</v>
      </c>
      <c r="AH8" s="30">
        <v>1400</v>
      </c>
      <c r="AI8" s="30">
        <v>1690</v>
      </c>
    </row>
    <row r="9" spans="1:35" x14ac:dyDescent="0.25">
      <c r="A9" s="254" t="s">
        <v>251</v>
      </c>
      <c r="B9" s="255"/>
      <c r="C9" s="255"/>
      <c r="D9" s="256"/>
      <c r="E9" s="328">
        <f>SUM(E8:P8)</f>
        <v>0</v>
      </c>
      <c r="F9" s="329"/>
      <c r="G9" s="342" t="s">
        <v>88</v>
      </c>
      <c r="H9" s="343"/>
      <c r="I9" s="343"/>
      <c r="J9" s="343"/>
      <c r="K9" s="343"/>
      <c r="L9" s="344"/>
      <c r="M9" s="233"/>
      <c r="N9" s="234"/>
      <c r="O9" s="234"/>
      <c r="P9" s="235"/>
      <c r="Q9" s="28">
        <v>41388</v>
      </c>
      <c r="R9" s="29">
        <v>41275</v>
      </c>
      <c r="S9" s="27">
        <v>2013</v>
      </c>
      <c r="T9" s="30">
        <v>85</v>
      </c>
      <c r="U9" s="30">
        <v>145</v>
      </c>
      <c r="V9" s="30">
        <v>0</v>
      </c>
      <c r="W9" s="30">
        <v>235</v>
      </c>
      <c r="X9" s="30">
        <v>320</v>
      </c>
      <c r="Y9" s="30">
        <v>370</v>
      </c>
      <c r="Z9" s="30">
        <v>490</v>
      </c>
      <c r="AA9" s="30">
        <v>585</v>
      </c>
      <c r="AB9" s="30">
        <v>0</v>
      </c>
      <c r="AC9" s="30">
        <v>650</v>
      </c>
      <c r="AD9" s="30">
        <v>730</v>
      </c>
      <c r="AE9" s="30">
        <v>840</v>
      </c>
      <c r="AF9" s="30">
        <v>1040</v>
      </c>
      <c r="AG9" s="30">
        <v>1270</v>
      </c>
      <c r="AH9" s="30">
        <v>1450</v>
      </c>
      <c r="AI9" s="30">
        <v>1750</v>
      </c>
    </row>
    <row r="10" spans="1:35" ht="20.25" customHeight="1" x14ac:dyDescent="0.25">
      <c r="A10" s="276" t="s">
        <v>89</v>
      </c>
      <c r="B10" s="277"/>
      <c r="C10" s="277"/>
      <c r="D10" s="277"/>
      <c r="E10" s="277"/>
      <c r="F10" s="277"/>
      <c r="G10" s="277"/>
      <c r="H10" s="277"/>
      <c r="I10" s="277"/>
      <c r="J10" s="277"/>
      <c r="K10" s="277"/>
      <c r="L10" s="277"/>
      <c r="M10" s="277"/>
      <c r="N10" s="277"/>
      <c r="O10" s="277"/>
      <c r="P10" s="278"/>
      <c r="Q10" s="28">
        <v>41765</v>
      </c>
      <c r="R10" s="29">
        <v>41640</v>
      </c>
      <c r="S10" s="27">
        <v>2014</v>
      </c>
      <c r="T10" s="30">
        <v>100</v>
      </c>
      <c r="U10" s="30">
        <v>160</v>
      </c>
      <c r="V10" s="30">
        <v>0</v>
      </c>
      <c r="W10" s="30">
        <v>250</v>
      </c>
      <c r="X10" s="30">
        <v>350</v>
      </c>
      <c r="Y10" s="30">
        <v>400</v>
      </c>
      <c r="Z10" s="30">
        <v>550</v>
      </c>
      <c r="AA10" s="30">
        <v>650</v>
      </c>
      <c r="AB10" s="30">
        <v>0</v>
      </c>
      <c r="AC10" s="30">
        <v>700</v>
      </c>
      <c r="AD10" s="30">
        <v>800</v>
      </c>
      <c r="AE10" s="30">
        <v>900</v>
      </c>
      <c r="AF10" s="30">
        <v>1150</v>
      </c>
      <c r="AG10" s="30">
        <v>1400</v>
      </c>
      <c r="AH10" s="30">
        <v>1600</v>
      </c>
      <c r="AI10" s="30">
        <v>1900</v>
      </c>
    </row>
    <row r="11" spans="1:35" ht="29.25" customHeight="1" x14ac:dyDescent="0.25">
      <c r="A11" s="289" t="s">
        <v>301</v>
      </c>
      <c r="B11" s="290"/>
      <c r="C11" s="337" t="s">
        <v>226</v>
      </c>
      <c r="D11" s="338"/>
      <c r="E11" s="338"/>
      <c r="F11" s="338"/>
      <c r="G11" s="338"/>
      <c r="H11" s="338"/>
      <c r="I11" s="338"/>
      <c r="J11" s="338"/>
      <c r="K11" s="338"/>
      <c r="L11" s="338"/>
      <c r="M11" s="338"/>
      <c r="N11" s="338"/>
      <c r="O11" s="339"/>
      <c r="P11" s="31" t="str">
        <f>VLOOKUP(C11,B76:C217,2,0)</f>
        <v>3B</v>
      </c>
      <c r="Q11" s="28">
        <v>42082</v>
      </c>
      <c r="R11" s="29">
        <v>42005</v>
      </c>
      <c r="S11" s="27">
        <v>2015</v>
      </c>
      <c r="T11" s="30">
        <v>110</v>
      </c>
      <c r="U11" s="30">
        <v>170</v>
      </c>
      <c r="V11" s="30">
        <v>0</v>
      </c>
      <c r="W11" s="30">
        <v>270</v>
      </c>
      <c r="X11" s="30">
        <v>370</v>
      </c>
      <c r="Y11" s="30">
        <v>430</v>
      </c>
      <c r="Z11" s="30">
        <v>590</v>
      </c>
      <c r="AA11" s="30">
        <v>700</v>
      </c>
      <c r="AB11" s="30">
        <v>0</v>
      </c>
      <c r="AC11" s="30">
        <v>750</v>
      </c>
      <c r="AD11" s="30">
        <v>860</v>
      </c>
      <c r="AE11" s="30">
        <v>960</v>
      </c>
      <c r="AF11" s="30">
        <v>1230</v>
      </c>
      <c r="AG11" s="30">
        <v>1500</v>
      </c>
      <c r="AH11" s="30">
        <v>1710</v>
      </c>
      <c r="AI11" s="30">
        <v>2040</v>
      </c>
    </row>
    <row r="12" spans="1:35" ht="21.75" customHeight="1" thickBot="1" x14ac:dyDescent="0.3">
      <c r="A12" s="251" t="s">
        <v>241</v>
      </c>
      <c r="B12" s="252"/>
      <c r="C12" s="253">
        <f>E9*AC36</f>
        <v>0</v>
      </c>
      <c r="D12" s="253"/>
      <c r="E12" s="253"/>
      <c r="F12" s="253"/>
      <c r="G12" s="299"/>
      <c r="H12" s="299"/>
      <c r="I12" s="299"/>
      <c r="J12" s="299"/>
      <c r="K12" s="299"/>
      <c r="L12" s="299"/>
      <c r="M12" s="299"/>
      <c r="N12" s="299"/>
      <c r="O12" s="300"/>
      <c r="P12" s="301"/>
      <c r="Q12" s="28">
        <v>42469</v>
      </c>
      <c r="R12" s="29">
        <v>42370</v>
      </c>
      <c r="S12" s="27">
        <v>2016</v>
      </c>
      <c r="T12" s="30">
        <v>118</v>
      </c>
      <c r="U12" s="30">
        <v>180</v>
      </c>
      <c r="V12" s="30">
        <v>0</v>
      </c>
      <c r="W12" s="30">
        <v>290</v>
      </c>
      <c r="X12" s="30">
        <v>390</v>
      </c>
      <c r="Y12" s="30">
        <v>460</v>
      </c>
      <c r="Z12" s="30">
        <v>630</v>
      </c>
      <c r="AA12" s="30">
        <v>750</v>
      </c>
      <c r="AB12" s="30">
        <v>0</v>
      </c>
      <c r="AC12" s="30">
        <v>800</v>
      </c>
      <c r="AD12" s="30">
        <v>920</v>
      </c>
      <c r="AE12" s="30">
        <v>1030</v>
      </c>
      <c r="AF12" s="30">
        <v>1320</v>
      </c>
      <c r="AG12" s="30">
        <v>1610</v>
      </c>
      <c r="AH12" s="30">
        <v>1835</v>
      </c>
      <c r="AI12" s="30">
        <v>2150</v>
      </c>
    </row>
    <row r="13" spans="1:35" ht="17.25" customHeight="1" x14ac:dyDescent="0.25">
      <c r="A13" s="273" t="s">
        <v>303</v>
      </c>
      <c r="B13" s="274"/>
      <c r="C13" s="274"/>
      <c r="D13" s="274"/>
      <c r="E13" s="274"/>
      <c r="F13" s="274"/>
      <c r="G13" s="274"/>
      <c r="H13" s="274"/>
      <c r="I13" s="274"/>
      <c r="J13" s="274"/>
      <c r="K13" s="274"/>
      <c r="L13" s="274"/>
      <c r="M13" s="274"/>
      <c r="N13" s="274"/>
      <c r="O13" s="274"/>
      <c r="P13" s="275"/>
      <c r="Q13" s="28">
        <v>42859</v>
      </c>
      <c r="R13" s="29">
        <v>42736</v>
      </c>
      <c r="S13" s="27">
        <v>2017</v>
      </c>
      <c r="T13" s="30">
        <v>133</v>
      </c>
      <c r="U13" s="30">
        <v>198</v>
      </c>
      <c r="V13" s="30">
        <v>0</v>
      </c>
      <c r="W13" s="30">
        <v>320</v>
      </c>
      <c r="X13" s="30">
        <v>419</v>
      </c>
      <c r="Y13" s="30">
        <v>502</v>
      </c>
      <c r="Z13" s="30">
        <v>694</v>
      </c>
      <c r="AA13" s="30">
        <v>838</v>
      </c>
      <c r="AB13" s="30">
        <v>0</v>
      </c>
      <c r="AC13" s="30">
        <v>882</v>
      </c>
      <c r="AD13" s="30">
        <v>1021</v>
      </c>
      <c r="AE13" s="30">
        <v>1135</v>
      </c>
      <c r="AF13" s="30">
        <v>1425</v>
      </c>
      <c r="AG13" s="30">
        <v>1764</v>
      </c>
      <c r="AH13" s="30">
        <v>2023</v>
      </c>
      <c r="AI13" s="30">
        <v>2383</v>
      </c>
    </row>
    <row r="14" spans="1:35" x14ac:dyDescent="0.25">
      <c r="A14" s="248" t="s">
        <v>249</v>
      </c>
      <c r="B14" s="249"/>
      <c r="C14" s="249"/>
      <c r="D14" s="271">
        <v>44177</v>
      </c>
      <c r="E14" s="272"/>
      <c r="F14" s="272"/>
      <c r="G14" s="260" t="s">
        <v>296</v>
      </c>
      <c r="H14" s="261"/>
      <c r="I14" s="261"/>
      <c r="J14" s="261"/>
      <c r="K14" s="261"/>
      <c r="L14" s="261"/>
      <c r="M14" s="261"/>
      <c r="N14" s="261"/>
      <c r="O14" s="261"/>
      <c r="P14" s="262"/>
      <c r="Q14" s="28">
        <v>43216</v>
      </c>
      <c r="R14" s="29">
        <v>43101</v>
      </c>
      <c r="S14" s="27">
        <v>2018</v>
      </c>
      <c r="T14" s="30">
        <v>153</v>
      </c>
      <c r="U14" s="30">
        <v>228</v>
      </c>
      <c r="V14" s="30">
        <v>0</v>
      </c>
      <c r="W14" s="30">
        <v>369</v>
      </c>
      <c r="X14" s="30">
        <v>483</v>
      </c>
      <c r="Y14" s="30">
        <v>578</v>
      </c>
      <c r="Z14" s="30">
        <v>800</v>
      </c>
      <c r="AA14" s="30">
        <v>966</v>
      </c>
      <c r="AB14" s="30">
        <v>0</v>
      </c>
      <c r="AC14" s="30">
        <v>1016</v>
      </c>
      <c r="AD14" s="30">
        <v>1177</v>
      </c>
      <c r="AE14" s="30">
        <v>1308</v>
      </c>
      <c r="AF14" s="30">
        <v>1642</v>
      </c>
      <c r="AG14" s="30">
        <v>2033</v>
      </c>
      <c r="AH14" s="30">
        <v>2331</v>
      </c>
      <c r="AI14" s="30">
        <v>2746</v>
      </c>
    </row>
    <row r="15" spans="1:35" ht="14.25" customHeight="1" x14ac:dyDescent="0.25">
      <c r="A15" s="254" t="s">
        <v>90</v>
      </c>
      <c r="B15" s="255"/>
      <c r="C15" s="256"/>
      <c r="D15" s="245"/>
      <c r="E15" s="250"/>
      <c r="F15" s="246"/>
      <c r="G15" s="260" t="s">
        <v>297</v>
      </c>
      <c r="H15" s="261"/>
      <c r="I15" s="261"/>
      <c r="J15" s="261"/>
      <c r="K15" s="261"/>
      <c r="L15" s="261"/>
      <c r="M15" s="261"/>
      <c r="N15" s="261"/>
      <c r="O15" s="261"/>
      <c r="P15" s="262"/>
      <c r="Q15" s="28">
        <v>43540</v>
      </c>
      <c r="R15" s="29">
        <v>43466</v>
      </c>
      <c r="S15" s="27">
        <v>2019</v>
      </c>
      <c r="T15" s="30">
        <v>185</v>
      </c>
      <c r="U15" s="30">
        <v>275</v>
      </c>
      <c r="V15" s="30">
        <v>0</v>
      </c>
      <c r="W15" s="30">
        <v>450</v>
      </c>
      <c r="X15" s="30">
        <v>590</v>
      </c>
      <c r="Y15" s="30">
        <v>710</v>
      </c>
      <c r="Z15" s="30">
        <v>980</v>
      </c>
      <c r="AA15" s="30">
        <v>1210</v>
      </c>
      <c r="AB15" s="30">
        <v>0</v>
      </c>
      <c r="AC15" s="30">
        <v>1270</v>
      </c>
      <c r="AD15" s="30">
        <v>1470</v>
      </c>
      <c r="AE15" s="30">
        <v>1630</v>
      </c>
      <c r="AF15" s="30">
        <v>2010</v>
      </c>
      <c r="AG15" s="30">
        <v>2485</v>
      </c>
      <c r="AH15" s="30">
        <v>2850</v>
      </c>
      <c r="AI15" s="30">
        <v>3360</v>
      </c>
    </row>
    <row r="16" spans="1:35" ht="18" customHeight="1" x14ac:dyDescent="0.25">
      <c r="A16" s="254" t="s">
        <v>85</v>
      </c>
      <c r="B16" s="255"/>
      <c r="C16" s="256"/>
      <c r="D16" s="257">
        <v>1</v>
      </c>
      <c r="E16" s="258"/>
      <c r="F16" s="259"/>
      <c r="G16" s="260" t="s">
        <v>298</v>
      </c>
      <c r="H16" s="261"/>
      <c r="I16" s="261"/>
      <c r="J16" s="261"/>
      <c r="K16" s="261"/>
      <c r="L16" s="261"/>
      <c r="M16" s="261"/>
      <c r="N16" s="261"/>
      <c r="O16" s="261"/>
      <c r="P16" s="262"/>
      <c r="Q16" s="28">
        <v>43900</v>
      </c>
      <c r="R16" s="29">
        <v>43831</v>
      </c>
      <c r="S16" s="27">
        <v>2020</v>
      </c>
      <c r="T16" s="30">
        <v>210</v>
      </c>
      <c r="U16" s="30">
        <v>310</v>
      </c>
      <c r="V16" s="30">
        <v>0</v>
      </c>
      <c r="W16" s="30">
        <v>510</v>
      </c>
      <c r="X16" s="30">
        <v>750</v>
      </c>
      <c r="Y16" s="30">
        <v>820</v>
      </c>
      <c r="Z16" s="30">
        <v>1100</v>
      </c>
      <c r="AA16" s="30">
        <v>1450</v>
      </c>
      <c r="AB16" s="30">
        <v>0</v>
      </c>
      <c r="AC16" s="30">
        <v>1550</v>
      </c>
      <c r="AD16" s="30">
        <v>1850</v>
      </c>
      <c r="AE16" s="30">
        <v>2000</v>
      </c>
      <c r="AF16" s="30">
        <v>2400</v>
      </c>
      <c r="AG16" s="30">
        <v>2900</v>
      </c>
      <c r="AH16" s="30">
        <v>3250</v>
      </c>
      <c r="AI16" s="30">
        <v>3800</v>
      </c>
    </row>
    <row r="17" spans="1:35" ht="23.25" customHeight="1" thickBot="1" x14ac:dyDescent="0.3">
      <c r="A17" s="251" t="s">
        <v>241</v>
      </c>
      <c r="B17" s="252"/>
      <c r="C17" s="252"/>
      <c r="D17" s="253">
        <f>D15*D16*Y28</f>
        <v>0</v>
      </c>
      <c r="E17" s="253"/>
      <c r="F17" s="253"/>
      <c r="G17" s="302"/>
      <c r="H17" s="303"/>
      <c r="I17" s="303"/>
      <c r="J17" s="303"/>
      <c r="K17" s="303"/>
      <c r="L17" s="303"/>
      <c r="M17" s="303"/>
      <c r="N17" s="303"/>
      <c r="O17" s="303"/>
      <c r="P17" s="304"/>
      <c r="Q17" s="28">
        <v>44279</v>
      </c>
      <c r="R17" s="29">
        <v>44197</v>
      </c>
      <c r="S17" s="27">
        <v>2021</v>
      </c>
      <c r="T17" s="30">
        <v>255</v>
      </c>
      <c r="U17" s="30">
        <v>390</v>
      </c>
      <c r="V17" s="30">
        <v>0</v>
      </c>
      <c r="W17" s="30">
        <v>640</v>
      </c>
      <c r="X17" s="30">
        <v>940</v>
      </c>
      <c r="Y17" s="30">
        <v>1030</v>
      </c>
      <c r="Z17" s="30">
        <v>1360</v>
      </c>
      <c r="AA17" s="30">
        <v>1800</v>
      </c>
      <c r="AB17" s="30">
        <v>0</v>
      </c>
      <c r="AC17" s="30">
        <v>1920</v>
      </c>
      <c r="AD17" s="30">
        <v>2300</v>
      </c>
      <c r="AE17" s="30">
        <v>2480</v>
      </c>
      <c r="AF17" s="30">
        <v>2970</v>
      </c>
      <c r="AG17" s="30">
        <v>3600</v>
      </c>
      <c r="AH17" s="30">
        <v>4000</v>
      </c>
      <c r="AI17" s="30">
        <v>4700</v>
      </c>
    </row>
    <row r="18" spans="1:35" ht="16.5" customHeight="1" x14ac:dyDescent="0.25">
      <c r="A18" s="273" t="s">
        <v>315</v>
      </c>
      <c r="B18" s="274"/>
      <c r="C18" s="274"/>
      <c r="D18" s="274"/>
      <c r="E18" s="274"/>
      <c r="F18" s="274"/>
      <c r="G18" s="274"/>
      <c r="H18" s="274"/>
      <c r="I18" s="274"/>
      <c r="J18" s="274"/>
      <c r="K18" s="274"/>
      <c r="L18" s="274"/>
      <c r="M18" s="274"/>
      <c r="N18" s="274"/>
      <c r="O18" s="274"/>
      <c r="P18" s="275"/>
      <c r="Q18" s="28">
        <v>44610</v>
      </c>
      <c r="R18" s="29">
        <v>44562</v>
      </c>
      <c r="S18" s="27" t="s">
        <v>79</v>
      </c>
      <c r="T18" s="30">
        <v>425</v>
      </c>
      <c r="U18" s="30">
        <v>640</v>
      </c>
      <c r="V18" s="30">
        <v>0</v>
      </c>
      <c r="W18" s="30">
        <v>1050</v>
      </c>
      <c r="X18" s="30">
        <v>1550</v>
      </c>
      <c r="Y18" s="30">
        <v>1700</v>
      </c>
      <c r="Z18" s="30">
        <v>2250</v>
      </c>
      <c r="AA18" s="30">
        <v>3000</v>
      </c>
      <c r="AB18" s="30">
        <v>0</v>
      </c>
      <c r="AC18" s="30">
        <v>3200</v>
      </c>
      <c r="AD18" s="30">
        <v>3800</v>
      </c>
      <c r="AE18" s="30">
        <v>4100</v>
      </c>
      <c r="AF18" s="30">
        <v>4950</v>
      </c>
      <c r="AG18" s="30">
        <v>6000</v>
      </c>
      <c r="AH18" s="30">
        <v>6650</v>
      </c>
      <c r="AI18" s="30">
        <v>7800</v>
      </c>
    </row>
    <row r="19" spans="1:35" ht="16.5" customHeight="1" x14ac:dyDescent="0.25">
      <c r="A19" s="248" t="s">
        <v>244</v>
      </c>
      <c r="B19" s="249"/>
      <c r="C19" s="249"/>
      <c r="D19" s="271">
        <v>44393</v>
      </c>
      <c r="E19" s="272"/>
      <c r="F19" s="358"/>
      <c r="G19" s="365" t="s">
        <v>314</v>
      </c>
      <c r="H19" s="366"/>
      <c r="I19" s="366"/>
      <c r="J19" s="366"/>
      <c r="K19" s="366"/>
      <c r="L19" s="366"/>
      <c r="M19" s="366"/>
      <c r="N19" s="366"/>
      <c r="O19" s="366"/>
      <c r="P19" s="367"/>
      <c r="Q19" s="28">
        <v>44733</v>
      </c>
      <c r="R19" s="29">
        <v>44714</v>
      </c>
      <c r="S19" s="27" t="s">
        <v>80</v>
      </c>
      <c r="T19" s="30">
        <v>605</v>
      </c>
      <c r="U19" s="30">
        <v>910</v>
      </c>
      <c r="V19" s="30">
        <v>0</v>
      </c>
      <c r="W19" s="30">
        <v>1500</v>
      </c>
      <c r="X19" s="30">
        <v>2210</v>
      </c>
      <c r="Y19" s="30">
        <v>2425</v>
      </c>
      <c r="Z19" s="30">
        <v>3200</v>
      </c>
      <c r="AA19" s="30">
        <v>4275</v>
      </c>
      <c r="AB19" s="30">
        <v>0</v>
      </c>
      <c r="AC19" s="30">
        <v>4580</v>
      </c>
      <c r="AD19" s="30">
        <v>5440</v>
      </c>
      <c r="AE19" s="30">
        <v>5875</v>
      </c>
      <c r="AF19" s="30">
        <v>7090</v>
      </c>
      <c r="AG19" s="30">
        <v>8595</v>
      </c>
      <c r="AH19" s="30">
        <v>9525</v>
      </c>
      <c r="AI19" s="30">
        <v>11175</v>
      </c>
    </row>
    <row r="20" spans="1:35" ht="16.5" customHeight="1" x14ac:dyDescent="0.25">
      <c r="A20" s="254" t="s">
        <v>252</v>
      </c>
      <c r="B20" s="255"/>
      <c r="C20" s="256"/>
      <c r="D20" s="359" t="s">
        <v>9</v>
      </c>
      <c r="E20" s="360"/>
      <c r="F20" s="361"/>
      <c r="G20" s="368"/>
      <c r="H20" s="369"/>
      <c r="I20" s="369"/>
      <c r="J20" s="369"/>
      <c r="K20" s="369"/>
      <c r="L20" s="369"/>
      <c r="M20" s="369"/>
      <c r="N20" s="369"/>
      <c r="O20" s="369"/>
      <c r="P20" s="370"/>
      <c r="Q20" s="28">
        <v>44817</v>
      </c>
      <c r="R20" s="29">
        <v>44743</v>
      </c>
      <c r="S20" s="27" t="s">
        <v>81</v>
      </c>
      <c r="T20" s="30">
        <v>650</v>
      </c>
      <c r="U20" s="30">
        <v>990</v>
      </c>
      <c r="V20" s="30">
        <v>0</v>
      </c>
      <c r="W20" s="30">
        <v>1650</v>
      </c>
      <c r="X20" s="30">
        <v>2400</v>
      </c>
      <c r="Y20" s="30">
        <v>2685</v>
      </c>
      <c r="Z20" s="30">
        <v>3450</v>
      </c>
      <c r="AA20" s="30">
        <v>4650</v>
      </c>
      <c r="AB20" s="30">
        <v>0</v>
      </c>
      <c r="AC20" s="30">
        <v>4950</v>
      </c>
      <c r="AD20" s="30">
        <v>5900</v>
      </c>
      <c r="AE20" s="30">
        <v>6400</v>
      </c>
      <c r="AF20" s="30">
        <v>7700</v>
      </c>
      <c r="AG20" s="30">
        <v>9350</v>
      </c>
      <c r="AH20" s="30">
        <v>10300</v>
      </c>
      <c r="AI20" s="30">
        <v>12150</v>
      </c>
    </row>
    <row r="21" spans="1:35" ht="16.5" customHeight="1" x14ac:dyDescent="0.25">
      <c r="A21" s="254" t="s">
        <v>90</v>
      </c>
      <c r="B21" s="255"/>
      <c r="C21" s="256"/>
      <c r="D21" s="245"/>
      <c r="E21" s="250"/>
      <c r="F21" s="246"/>
      <c r="G21" s="311" t="s">
        <v>253</v>
      </c>
      <c r="H21" s="255"/>
      <c r="I21" s="255"/>
      <c r="J21" s="255"/>
      <c r="K21" s="255"/>
      <c r="L21" s="255"/>
      <c r="M21" s="256"/>
      <c r="N21" s="308">
        <f>HLOOKUP(D20,O37:AC49,MATCH(D22,O37:O49,1),FALSE)</f>
        <v>9317700</v>
      </c>
      <c r="O21" s="309"/>
      <c r="P21" s="310"/>
      <c r="Q21" s="28">
        <v>44968</v>
      </c>
      <c r="R21" s="29">
        <v>44927</v>
      </c>
      <c r="S21" s="27" t="s">
        <v>82</v>
      </c>
      <c r="T21" s="30">
        <v>865</v>
      </c>
      <c r="U21" s="30">
        <v>1320</v>
      </c>
      <c r="V21" s="30">
        <v>0</v>
      </c>
      <c r="W21" s="30">
        <v>2195</v>
      </c>
      <c r="X21" s="30">
        <v>3200</v>
      </c>
      <c r="Y21" s="30">
        <v>3575</v>
      </c>
      <c r="Z21" s="30">
        <v>4600</v>
      </c>
      <c r="AA21" s="30">
        <v>6350</v>
      </c>
      <c r="AB21" s="30">
        <v>0</v>
      </c>
      <c r="AC21" s="30">
        <v>6825</v>
      </c>
      <c r="AD21" s="30">
        <v>8100</v>
      </c>
      <c r="AE21" s="30">
        <v>8825</v>
      </c>
      <c r="AF21" s="30">
        <v>10650</v>
      </c>
      <c r="AG21" s="30">
        <v>12950</v>
      </c>
      <c r="AH21" s="30">
        <v>14350</v>
      </c>
      <c r="AI21" s="30">
        <v>16950</v>
      </c>
    </row>
    <row r="22" spans="1:35" ht="16.5" customHeight="1" x14ac:dyDescent="0.25">
      <c r="A22" s="248" t="s">
        <v>248</v>
      </c>
      <c r="B22" s="249"/>
      <c r="C22" s="249"/>
      <c r="D22" s="236">
        <v>44448</v>
      </c>
      <c r="E22" s="270"/>
      <c r="F22" s="270"/>
      <c r="G22" s="305" t="s">
        <v>246</v>
      </c>
      <c r="H22" s="306"/>
      <c r="I22" s="306"/>
      <c r="J22" s="306"/>
      <c r="K22" s="306"/>
      <c r="L22" s="307"/>
      <c r="M22" s="308">
        <f>D21*D23*0.2*Y29</f>
        <v>0</v>
      </c>
      <c r="N22" s="309"/>
      <c r="O22" s="309"/>
      <c r="P22" s="310"/>
      <c r="Q22" s="28">
        <v>45150</v>
      </c>
      <c r="R22" s="29">
        <v>45108</v>
      </c>
      <c r="S22" s="27" t="s">
        <v>83</v>
      </c>
      <c r="T22" s="30">
        <v>1050</v>
      </c>
      <c r="U22" s="30">
        <v>1550</v>
      </c>
      <c r="V22" s="30">
        <v>0</v>
      </c>
      <c r="W22" s="30">
        <v>2600</v>
      </c>
      <c r="X22" s="30">
        <v>3800</v>
      </c>
      <c r="Y22" s="30">
        <v>5350</v>
      </c>
      <c r="Z22" s="30">
        <v>7500</v>
      </c>
      <c r="AA22" s="30">
        <v>9000</v>
      </c>
      <c r="AB22" s="30">
        <v>0</v>
      </c>
      <c r="AC22" s="30">
        <v>10200</v>
      </c>
      <c r="AD22" s="30">
        <v>12050</v>
      </c>
      <c r="AE22" s="30">
        <v>12450</v>
      </c>
      <c r="AF22" s="30">
        <v>13800</v>
      </c>
      <c r="AG22" s="30">
        <v>16250</v>
      </c>
      <c r="AH22" s="30">
        <v>18100</v>
      </c>
      <c r="AI22" s="30">
        <v>21400</v>
      </c>
    </row>
    <row r="23" spans="1:35" ht="16.5" customHeight="1" x14ac:dyDescent="0.25">
      <c r="A23" s="254" t="s">
        <v>85</v>
      </c>
      <c r="B23" s="255"/>
      <c r="C23" s="256"/>
      <c r="D23" s="257">
        <v>1</v>
      </c>
      <c r="E23" s="258"/>
      <c r="F23" s="259"/>
      <c r="G23" s="305" t="s">
        <v>247</v>
      </c>
      <c r="H23" s="306"/>
      <c r="I23" s="306"/>
      <c r="J23" s="306"/>
      <c r="K23" s="306"/>
      <c r="L23" s="307"/>
      <c r="M23" s="308">
        <f>MIN(Z29,AA29)</f>
        <v>0</v>
      </c>
      <c r="N23" s="309"/>
      <c r="O23" s="309"/>
      <c r="P23" s="310"/>
      <c r="Q23" s="28">
        <v>45342</v>
      </c>
      <c r="R23" s="29">
        <v>45292</v>
      </c>
      <c r="S23" s="27">
        <v>2024</v>
      </c>
      <c r="T23" s="30">
        <v>1450</v>
      </c>
      <c r="U23" s="30">
        <v>2100</v>
      </c>
      <c r="V23" s="30">
        <v>0</v>
      </c>
      <c r="W23" s="30">
        <v>3500</v>
      </c>
      <c r="X23" s="30">
        <v>5250</v>
      </c>
      <c r="Y23" s="30">
        <v>7750</v>
      </c>
      <c r="Z23" s="30">
        <v>12250</v>
      </c>
      <c r="AA23" s="30">
        <v>14400</v>
      </c>
      <c r="AB23" s="30">
        <v>0</v>
      </c>
      <c r="AC23" s="30">
        <v>15300</v>
      </c>
      <c r="AD23" s="30">
        <v>17400</v>
      </c>
      <c r="AE23" s="30">
        <v>18700</v>
      </c>
      <c r="AF23" s="30">
        <v>21300</v>
      </c>
      <c r="AG23" s="30">
        <v>22250</v>
      </c>
      <c r="AH23" s="30">
        <v>24300</v>
      </c>
      <c r="AI23" s="30">
        <v>26800</v>
      </c>
    </row>
    <row r="24" spans="1:35" ht="18.75" customHeight="1" thickBot="1" x14ac:dyDescent="0.3">
      <c r="A24" s="222" t="s">
        <v>241</v>
      </c>
      <c r="B24" s="223"/>
      <c r="C24" s="224"/>
      <c r="D24" s="362">
        <f>IF(D22&lt;G24,M22,M23)</f>
        <v>0</v>
      </c>
      <c r="E24" s="363"/>
      <c r="F24" s="364"/>
      <c r="G24" s="322">
        <v>43801</v>
      </c>
      <c r="H24" s="323"/>
      <c r="I24" s="323"/>
      <c r="J24" s="323"/>
      <c r="K24" s="323"/>
      <c r="L24" s="323"/>
      <c r="M24" s="323"/>
      <c r="N24" s="323"/>
      <c r="O24" s="323"/>
      <c r="P24" s="324"/>
      <c r="Q24" s="28">
        <v>45688</v>
      </c>
      <c r="R24" s="29">
        <v>45658</v>
      </c>
      <c r="S24" s="27">
        <v>2025</v>
      </c>
      <c r="T24" s="30">
        <v>2100</v>
      </c>
      <c r="U24" s="30">
        <v>3050</v>
      </c>
      <c r="V24" s="30">
        <v>3300</v>
      </c>
      <c r="W24" s="30">
        <v>6600</v>
      </c>
      <c r="X24" s="30">
        <v>10200</v>
      </c>
      <c r="Y24" s="30">
        <v>12400</v>
      </c>
      <c r="Z24" s="30">
        <v>17100</v>
      </c>
      <c r="AA24" s="30">
        <v>18200</v>
      </c>
      <c r="AB24" s="30">
        <v>19150</v>
      </c>
      <c r="AC24" s="30">
        <v>21500</v>
      </c>
      <c r="AD24" s="30">
        <v>27500</v>
      </c>
      <c r="AE24" s="30">
        <v>32600</v>
      </c>
      <c r="AF24" s="30">
        <v>34400</v>
      </c>
      <c r="AG24" s="30">
        <v>35600</v>
      </c>
      <c r="AH24" s="30">
        <v>39500</v>
      </c>
      <c r="AI24" s="30">
        <v>43400</v>
      </c>
    </row>
    <row r="25" spans="1:35" ht="20.25" customHeight="1" x14ac:dyDescent="0.25">
      <c r="A25" s="279" t="s">
        <v>300</v>
      </c>
      <c r="B25" s="280"/>
      <c r="C25" s="280"/>
      <c r="D25" s="280"/>
      <c r="E25" s="280"/>
      <c r="F25" s="280"/>
      <c r="G25" s="280"/>
      <c r="H25" s="280"/>
      <c r="I25" s="280"/>
      <c r="J25" s="280"/>
      <c r="K25" s="280"/>
      <c r="L25" s="280"/>
      <c r="M25" s="280"/>
      <c r="N25" s="280"/>
      <c r="O25" s="280"/>
      <c r="P25" s="281"/>
      <c r="Q25" s="28">
        <v>46056</v>
      </c>
      <c r="R25" s="29">
        <v>46023</v>
      </c>
      <c r="S25" s="32">
        <v>2026</v>
      </c>
      <c r="T25" s="30">
        <v>2600</v>
      </c>
      <c r="U25" s="30">
        <v>3900</v>
      </c>
      <c r="V25" s="30">
        <v>4200</v>
      </c>
      <c r="W25" s="30">
        <v>8100</v>
      </c>
      <c r="X25" s="30">
        <v>12500</v>
      </c>
      <c r="Y25" s="30">
        <v>15100</v>
      </c>
      <c r="Z25" s="30">
        <v>19800</v>
      </c>
      <c r="AA25" s="30">
        <v>21050</v>
      </c>
      <c r="AB25" s="30">
        <v>23400</v>
      </c>
      <c r="AC25" s="30">
        <v>26450</v>
      </c>
      <c r="AD25" s="30">
        <v>33900</v>
      </c>
      <c r="AE25" s="30">
        <v>40500</v>
      </c>
      <c r="AF25" s="30">
        <v>42350</v>
      </c>
      <c r="AG25" s="30">
        <v>43850</v>
      </c>
      <c r="AH25" s="30">
        <v>48750</v>
      </c>
      <c r="AI25" s="30">
        <v>53500</v>
      </c>
    </row>
    <row r="26" spans="1:35" ht="24.95" customHeight="1" x14ac:dyDescent="0.25">
      <c r="A26" s="287" t="s">
        <v>91</v>
      </c>
      <c r="B26" s="288"/>
      <c r="C26" s="236">
        <v>46001</v>
      </c>
      <c r="D26" s="237"/>
      <c r="E26" s="236">
        <v>45057</v>
      </c>
      <c r="F26" s="237"/>
      <c r="G26" s="236">
        <v>45058</v>
      </c>
      <c r="H26" s="237"/>
      <c r="I26" s="236">
        <v>45059</v>
      </c>
      <c r="J26" s="237"/>
      <c r="K26" s="236">
        <v>45060</v>
      </c>
      <c r="L26" s="237"/>
      <c r="M26" s="236">
        <v>45061</v>
      </c>
      <c r="N26" s="237"/>
      <c r="O26" s="236">
        <v>45062</v>
      </c>
      <c r="P26" s="238"/>
    </row>
    <row r="27" spans="1:35" x14ac:dyDescent="0.25">
      <c r="A27" s="289" t="s">
        <v>2</v>
      </c>
      <c r="B27" s="290"/>
      <c r="C27" s="291">
        <f ca="1">TODAY()</f>
        <v>46071</v>
      </c>
      <c r="D27" s="291"/>
      <c r="E27" s="347" t="s">
        <v>302</v>
      </c>
      <c r="F27" s="348"/>
      <c r="G27" s="348"/>
      <c r="H27" s="348"/>
      <c r="I27" s="348"/>
      <c r="J27" s="348"/>
      <c r="K27" s="348"/>
      <c r="L27" s="348"/>
      <c r="M27" s="348"/>
      <c r="N27" s="348"/>
      <c r="O27" s="348"/>
      <c r="P27" s="349"/>
      <c r="Q27" s="33" t="s">
        <v>269</v>
      </c>
      <c r="R27" s="34">
        <f>E3</f>
        <v>42889</v>
      </c>
      <c r="S27" s="35">
        <f>DATE(YEAR(R27),MONTH(R27)-1,DAY(R27))</f>
        <v>42858</v>
      </c>
      <c r="T27" s="36">
        <f>YEAR(S27)</f>
        <v>2017</v>
      </c>
      <c r="U27" s="36">
        <f>MONTH(S27)</f>
        <v>5</v>
      </c>
      <c r="V27" s="37" t="s">
        <v>281</v>
      </c>
      <c r="W27" s="25">
        <f>HLOOKUP(U27,$A$37:$M$56,MATCH(T27,$A$37:$A$56,0),FALSE)</f>
        <v>295.31</v>
      </c>
      <c r="X27" s="25">
        <f>$R$30</f>
        <v>4910.53</v>
      </c>
      <c r="Y27" s="38">
        <f>X27/W27</f>
        <v>16.628390504893162</v>
      </c>
    </row>
    <row r="28" spans="1:35" ht="15" customHeight="1" x14ac:dyDescent="0.25">
      <c r="A28" s="289" t="s">
        <v>92</v>
      </c>
      <c r="B28" s="290"/>
      <c r="C28" s="282">
        <f ca="1">($C$27-C26)/365</f>
        <v>0.19178082191780821</v>
      </c>
      <c r="D28" s="282"/>
      <c r="E28" s="282">
        <f t="shared" ref="E28" ca="1" si="0">($C$27-E26)/365</f>
        <v>2.7780821917808218</v>
      </c>
      <c r="F28" s="282"/>
      <c r="G28" s="282">
        <f t="shared" ref="G28" ca="1" si="1">($C$27-G26)/365</f>
        <v>2.7753424657534245</v>
      </c>
      <c r="H28" s="282"/>
      <c r="I28" s="282">
        <f t="shared" ref="I28" ca="1" si="2">($C$27-I26)/365</f>
        <v>2.7726027397260276</v>
      </c>
      <c r="J28" s="282"/>
      <c r="K28" s="282">
        <f t="shared" ref="K28" ca="1" si="3">($C$27-K26)/365</f>
        <v>2.7698630136986302</v>
      </c>
      <c r="L28" s="282"/>
      <c r="M28" s="282">
        <f t="shared" ref="M28" ca="1" si="4">($C$27-M26)/365</f>
        <v>2.7671232876712328</v>
      </c>
      <c r="N28" s="282"/>
      <c r="O28" s="282">
        <f t="shared" ref="O28" ca="1" si="5">($C$27-O26)/365</f>
        <v>2.7643835616438355</v>
      </c>
      <c r="P28" s="283"/>
      <c r="Q28" s="39" t="s">
        <v>270</v>
      </c>
      <c r="R28" s="40">
        <f>D14</f>
        <v>44177</v>
      </c>
      <c r="S28" s="35">
        <f t="shared" ref="S28:S29" si="6">DATE(YEAR(R28),MONTH(R28)-1,DAY(R28))</f>
        <v>44147</v>
      </c>
      <c r="T28" s="36">
        <f t="shared" ref="T28:T29" si="7">YEAR(S28)</f>
        <v>2020</v>
      </c>
      <c r="U28" s="36">
        <f t="shared" ref="U28:U29" si="8">MONTH(S28)</f>
        <v>11</v>
      </c>
      <c r="V28" s="37" t="s">
        <v>281</v>
      </c>
      <c r="W28" s="25">
        <f>HLOOKUP(U28,$A$37:$M$56,MATCH(T28,$A$37:$A$56,0),FALSE)</f>
        <v>555.17999999999995</v>
      </c>
      <c r="X28" s="25">
        <f t="shared" ref="X28:X29" si="9">$R$30</f>
        <v>4910.53</v>
      </c>
      <c r="Y28" s="38">
        <f>X28/W28</f>
        <v>8.844933174826183</v>
      </c>
      <c r="AA28" s="41"/>
      <c r="AB28" s="42"/>
      <c r="AC28" s="42"/>
      <c r="AD28" s="42"/>
      <c r="AE28" s="43"/>
      <c r="AF28" s="43"/>
      <c r="AG28" s="44"/>
    </row>
    <row r="29" spans="1:35" ht="16.5" customHeight="1" x14ac:dyDescent="0.25">
      <c r="A29" s="267" t="s">
        <v>87</v>
      </c>
      <c r="B29" s="269"/>
      <c r="C29" s="284">
        <f>$E$9</f>
        <v>0</v>
      </c>
      <c r="D29" s="285"/>
      <c r="E29" s="284"/>
      <c r="F29" s="285"/>
      <c r="G29" s="284"/>
      <c r="H29" s="285"/>
      <c r="I29" s="284"/>
      <c r="J29" s="285"/>
      <c r="K29" s="284"/>
      <c r="L29" s="285"/>
      <c r="M29" s="284"/>
      <c r="N29" s="285"/>
      <c r="O29" s="284"/>
      <c r="P29" s="286"/>
      <c r="Q29" s="45" t="s">
        <v>271</v>
      </c>
      <c r="R29" s="46">
        <f>D19</f>
        <v>44393</v>
      </c>
      <c r="S29" s="35">
        <f t="shared" si="6"/>
        <v>44363</v>
      </c>
      <c r="T29" s="36">
        <f t="shared" si="7"/>
        <v>2021</v>
      </c>
      <c r="U29" s="36">
        <f t="shared" si="8"/>
        <v>6</v>
      </c>
      <c r="V29" s="37" t="s">
        <v>281</v>
      </c>
      <c r="W29" s="25">
        <f>HLOOKUP(U29,$A$37:$M$56,MATCH(T29,$A$37:$A$56,0),FALSE)</f>
        <v>693.54</v>
      </c>
      <c r="X29" s="25">
        <f t="shared" si="9"/>
        <v>4910.53</v>
      </c>
      <c r="Y29" s="38">
        <f>X29/W29</f>
        <v>7.0803846930241949</v>
      </c>
      <c r="Z29" s="47">
        <f>D23*HLOOKUP(D20,O37:AC49,MATCH(D22,O37:O49,1),FALSE)*Y29</f>
        <v>65972900.454191543</v>
      </c>
      <c r="AA29" s="47">
        <f>D21*D23*Y29</f>
        <v>0</v>
      </c>
    </row>
    <row r="30" spans="1:35" ht="27" customHeight="1" x14ac:dyDescent="0.25">
      <c r="A30" s="289" t="s">
        <v>93</v>
      </c>
      <c r="B30" s="290"/>
      <c r="C30" s="245"/>
      <c r="D30" s="246"/>
      <c r="E30" s="245"/>
      <c r="F30" s="246"/>
      <c r="G30" s="245"/>
      <c r="H30" s="246"/>
      <c r="I30" s="245"/>
      <c r="J30" s="246"/>
      <c r="K30" s="245"/>
      <c r="L30" s="246"/>
      <c r="M30" s="245"/>
      <c r="N30" s="246"/>
      <c r="O30" s="245"/>
      <c r="P30" s="247"/>
      <c r="Q30" s="48" t="s">
        <v>282</v>
      </c>
      <c r="R30" s="49">
        <f>B38</f>
        <v>4910.53</v>
      </c>
      <c r="T30" s="47"/>
      <c r="U30" s="50"/>
      <c r="V30" s="41" t="s">
        <v>109</v>
      </c>
      <c r="W30" s="42" t="s">
        <v>107</v>
      </c>
      <c r="X30" s="42" t="s">
        <v>242</v>
      </c>
      <c r="Y30" s="42" t="s">
        <v>108</v>
      </c>
      <c r="Z30" s="43" t="s">
        <v>104</v>
      </c>
      <c r="AA30" s="43" t="s">
        <v>105</v>
      </c>
      <c r="AB30" s="44" t="s">
        <v>106</v>
      </c>
    </row>
    <row r="31" spans="1:35" ht="24" customHeight="1" x14ac:dyDescent="0.25">
      <c r="A31" s="289" t="s">
        <v>94</v>
      </c>
      <c r="B31" s="290"/>
      <c r="C31" s="290"/>
      <c r="D31" s="243">
        <f ca="1">D61</f>
        <v>0</v>
      </c>
      <c r="E31" s="316"/>
      <c r="F31" s="317"/>
      <c r="G31" s="318" t="s">
        <v>4</v>
      </c>
      <c r="H31" s="318"/>
      <c r="I31" s="318"/>
      <c r="J31" s="318"/>
      <c r="K31" s="318"/>
      <c r="L31" s="318"/>
      <c r="M31" s="319" t="s">
        <v>6</v>
      </c>
      <c r="N31" s="319"/>
      <c r="O31" s="320"/>
      <c r="P31" s="321"/>
      <c r="R31" s="51"/>
      <c r="T31" s="47"/>
      <c r="U31" s="49">
        <v>1</v>
      </c>
      <c r="V31" s="52">
        <f>E5</f>
        <v>0</v>
      </c>
      <c r="W31" s="53">
        <f>HLOOKUP(E4,$T$3:$AI$25,MATCH($S$27,$Q$3:$Q$25,1),FALSE)</f>
        <v>630</v>
      </c>
      <c r="X31" s="53">
        <f t="shared" ref="X31:X36" si="10">HLOOKUP($P$11,$T$3:$AI$25,MATCH($S$24,$S$3:$S$25,0),FALSE)</f>
        <v>18200</v>
      </c>
      <c r="Y31" s="54">
        <f>X31/W31</f>
        <v>28.888888888888889</v>
      </c>
      <c r="Z31" s="54">
        <f>Y31*0.9</f>
        <v>26</v>
      </c>
      <c r="AA31" s="54">
        <f>Y31*1.3</f>
        <v>37.555555555555557</v>
      </c>
      <c r="AB31" s="55">
        <f>IF($Y$27&lt;Z31,Z31,IF($Y$27&gt;AA31,AA31,$Y$27))</f>
        <v>26</v>
      </c>
    </row>
    <row r="32" spans="1:35" ht="25.5" customHeight="1" x14ac:dyDescent="0.25">
      <c r="A32" s="239" t="s">
        <v>102</v>
      </c>
      <c r="B32" s="240"/>
      <c r="C32" s="240"/>
      <c r="D32" s="241">
        <f ca="1">D31*3</f>
        <v>0</v>
      </c>
      <c r="E32" s="241"/>
      <c r="F32" s="241"/>
      <c r="G32" s="312" t="s">
        <v>96</v>
      </c>
      <c r="H32" s="312"/>
      <c r="I32" s="312"/>
      <c r="J32" s="312"/>
      <c r="K32" s="312"/>
      <c r="L32" s="312"/>
      <c r="M32" s="313" t="str">
        <f ca="1">IF(D34&gt;=M33,"YETERLİ","YETERLİ DEĞİL")</f>
        <v>YETERLİ DEĞİL</v>
      </c>
      <c r="N32" s="314"/>
      <c r="O32" s="314"/>
      <c r="P32" s="315"/>
      <c r="Q32" s="56" t="s">
        <v>280</v>
      </c>
      <c r="R32" s="57" t="str">
        <f>IF(OR(Bilanço!C34="YETERLİ DEĞİL",Bilanço!I34="YETERLİ DEĞİL"),"G","A")</f>
        <v>A</v>
      </c>
      <c r="U32" s="49">
        <v>2</v>
      </c>
      <c r="V32" s="52">
        <f>G5</f>
        <v>0</v>
      </c>
      <c r="W32" s="53">
        <f>HLOOKUP(G4,$T$3:$AI$25,MATCH($S$27,$Q$3:$Q$25,1),FALSE)</f>
        <v>750</v>
      </c>
      <c r="X32" s="53">
        <f t="shared" si="10"/>
        <v>18200</v>
      </c>
      <c r="Y32" s="54">
        <f t="shared" ref="Y32:Y36" si="11">X32/W32</f>
        <v>24.266666666666666</v>
      </c>
      <c r="Z32" s="54">
        <f t="shared" ref="Z32:Z36" si="12">Y32*0.9</f>
        <v>21.84</v>
      </c>
      <c r="AA32" s="54">
        <f t="shared" ref="AA32:AA36" si="13">Y32*1.3</f>
        <v>31.546666666666667</v>
      </c>
      <c r="AB32" s="55">
        <f>IF($Y$27&lt;Z32,Z32,IF($Y$27&gt;AA32,AA32,$Y$27))</f>
        <v>21.84</v>
      </c>
    </row>
    <row r="33" spans="1:34" x14ac:dyDescent="0.25">
      <c r="A33" s="248" t="s">
        <v>95</v>
      </c>
      <c r="B33" s="249"/>
      <c r="C33" s="249"/>
      <c r="D33" s="241">
        <f ca="1">SUMIFS(C30:P30,C28:P28,"&lt;5")</f>
        <v>0</v>
      </c>
      <c r="E33" s="241"/>
      <c r="F33" s="241"/>
      <c r="G33" s="242" t="s">
        <v>99</v>
      </c>
      <c r="H33" s="242"/>
      <c r="I33" s="242"/>
      <c r="J33" s="242"/>
      <c r="K33" s="242"/>
      <c r="L33" s="242"/>
      <c r="M33" s="241">
        <f>VLOOKUP(M31,B61:C73,2)</f>
        <v>123825000</v>
      </c>
      <c r="N33" s="241"/>
      <c r="O33" s="243"/>
      <c r="P33" s="244"/>
      <c r="Q33" s="56" t="s">
        <v>279</v>
      </c>
      <c r="R33" s="36" t="str">
        <f>IF(Ciro!G14&lt;Ciro!O14,Ciro!G14,Ciro!O14)</f>
        <v>F</v>
      </c>
      <c r="U33" s="49">
        <v>3</v>
      </c>
      <c r="V33" s="52">
        <f>I5</f>
        <v>0</v>
      </c>
      <c r="W33" s="53">
        <f>HLOOKUP(I4,$T$3:$AI$25,MATCH($S$27,$Q$3:$Q$25,1),FALSE)</f>
        <v>0</v>
      </c>
      <c r="X33" s="53">
        <f t="shared" si="10"/>
        <v>18200</v>
      </c>
      <c r="Y33" s="54" t="e">
        <f t="shared" si="11"/>
        <v>#DIV/0!</v>
      </c>
      <c r="Z33" s="54" t="e">
        <f t="shared" si="12"/>
        <v>#DIV/0!</v>
      </c>
      <c r="AA33" s="54" t="e">
        <f t="shared" si="13"/>
        <v>#DIV/0!</v>
      </c>
      <c r="AB33" s="55" t="e">
        <f>IF($Y$27&lt;Z33,Z33,IF($Y$27&gt;AA33,AA33,$Y$27))</f>
        <v>#DIV/0!</v>
      </c>
    </row>
    <row r="34" spans="1:34" ht="30" customHeight="1" thickBot="1" x14ac:dyDescent="0.3">
      <c r="A34" s="292" t="s">
        <v>97</v>
      </c>
      <c r="B34" s="293"/>
      <c r="C34" s="293"/>
      <c r="D34" s="294">
        <f ca="1">IF(D33&gt;2*D31,IF(D33&gt;D32,D32,D33),2*D31)</f>
        <v>0</v>
      </c>
      <c r="E34" s="294"/>
      <c r="F34" s="294"/>
      <c r="G34" s="295" t="s">
        <v>98</v>
      </c>
      <c r="H34" s="295"/>
      <c r="I34" s="295"/>
      <c r="J34" s="295"/>
      <c r="K34" s="295"/>
      <c r="L34" s="295"/>
      <c r="M34" s="296" t="str">
        <f ca="1">IFERROR(VLOOKUP(A74,A61:C73,2,0),"H")</f>
        <v>H</v>
      </c>
      <c r="N34" s="296"/>
      <c r="O34" s="297"/>
      <c r="P34" s="298"/>
      <c r="Q34" s="56" t="s">
        <v>278</v>
      </c>
      <c r="R34" s="57" t="str">
        <f ca="1">IF(M34&lt;Diploma!B8,M34,Diploma!B8)</f>
        <v>H</v>
      </c>
      <c r="U34" s="49">
        <v>4</v>
      </c>
      <c r="V34" s="52">
        <f>K5</f>
        <v>0</v>
      </c>
      <c r="W34" s="53">
        <f>HLOOKUP(K4,$T$3:$AI$25,MATCH($S$27,$Q$3:$Q$25,1),FALSE)</f>
        <v>290</v>
      </c>
      <c r="X34" s="53">
        <f t="shared" si="10"/>
        <v>18200</v>
      </c>
      <c r="Y34" s="54">
        <f t="shared" si="11"/>
        <v>62.758620689655174</v>
      </c>
      <c r="Z34" s="54">
        <f t="shared" si="12"/>
        <v>56.482758620689658</v>
      </c>
      <c r="AA34" s="54">
        <f t="shared" si="13"/>
        <v>81.58620689655173</v>
      </c>
      <c r="AB34" s="55">
        <f>IF($Y$27&lt;Z34,Z34,IF($Y$27&gt;AA34,AA34,$Y$27))</f>
        <v>56.482758620689658</v>
      </c>
    </row>
    <row r="35" spans="1:34" ht="30" customHeight="1" thickBot="1" x14ac:dyDescent="0.3">
      <c r="A35" s="225" t="s">
        <v>275</v>
      </c>
      <c r="B35" s="225"/>
      <c r="C35" s="226">
        <v>1602175</v>
      </c>
      <c r="D35" s="226"/>
      <c r="E35" s="227" t="s">
        <v>287</v>
      </c>
      <c r="F35" s="227"/>
      <c r="G35" s="227"/>
      <c r="H35" s="227"/>
      <c r="I35" s="227"/>
      <c r="J35" s="227"/>
      <c r="K35" s="227"/>
      <c r="L35" s="227"/>
      <c r="M35" s="227"/>
      <c r="N35" s="228" t="str">
        <f ca="1">LOOKUP(2,1/(COUNTIF(R32:R35,"&gt;"&amp;R32:R35)=0),R32:R35)</f>
        <v>H</v>
      </c>
      <c r="O35" s="229"/>
      <c r="P35" s="230"/>
      <c r="Q35" s="56" t="s">
        <v>277</v>
      </c>
      <c r="R35" s="57" t="str">
        <f>IFERROR(VLOOKUP(AD51,AD38:AF50,2,0),"H")</f>
        <v>H</v>
      </c>
      <c r="S35" s="36"/>
      <c r="U35" s="49">
        <v>5</v>
      </c>
      <c r="V35" s="52">
        <f>M5</f>
        <v>0</v>
      </c>
      <c r="W35" s="53">
        <f>HLOOKUP(M4,$T$3:$AI$25,MATCH($S$27,$Q$3:$Q$25,1),FALSE)</f>
        <v>800</v>
      </c>
      <c r="X35" s="53">
        <f t="shared" si="10"/>
        <v>18200</v>
      </c>
      <c r="Y35" s="54">
        <f t="shared" si="11"/>
        <v>22.75</v>
      </c>
      <c r="Z35" s="54">
        <f t="shared" si="12"/>
        <v>20.475000000000001</v>
      </c>
      <c r="AA35" s="54">
        <f t="shared" si="13"/>
        <v>29.574999999999999</v>
      </c>
      <c r="AB35" s="55">
        <f t="shared" ref="AB35:AB36" si="14">IF($Y$27&lt;Z35,Z35,IF($Y$27&gt;AA35,AA35,$Y$27))</f>
        <v>20.475000000000001</v>
      </c>
      <c r="AG35" s="55"/>
    </row>
    <row r="36" spans="1:34" ht="23.25" customHeight="1" x14ac:dyDescent="0.25">
      <c r="U36" s="49">
        <v>6</v>
      </c>
      <c r="V36" s="52">
        <f>O5</f>
        <v>0</v>
      </c>
      <c r="W36" s="53">
        <f>HLOOKUP(O4,$T$3:$AI$25,MATCH($S$27,$Q$3:$Q$25,1),FALSE)</f>
        <v>920</v>
      </c>
      <c r="X36" s="53">
        <f t="shared" si="10"/>
        <v>18200</v>
      </c>
      <c r="Y36" s="54">
        <f t="shared" si="11"/>
        <v>19.782608695652176</v>
      </c>
      <c r="Z36" s="54">
        <f t="shared" si="12"/>
        <v>17.804347826086957</v>
      </c>
      <c r="AA36" s="54">
        <f t="shared" si="13"/>
        <v>25.717391304347828</v>
      </c>
      <c r="AB36" s="55">
        <f t="shared" si="14"/>
        <v>17.804347826086957</v>
      </c>
      <c r="AC36" s="58">
        <f>VLOOKUP(MAX(V31:V36),V31:AB36,7,0)</f>
        <v>26</v>
      </c>
      <c r="AD36" s="221" t="s">
        <v>110</v>
      </c>
      <c r="AE36" s="221"/>
      <c r="AF36" s="221"/>
      <c r="AG36" s="221"/>
    </row>
    <row r="37" spans="1:34" ht="15" hidden="1" customHeight="1" x14ac:dyDescent="0.25">
      <c r="A37" s="92" t="s">
        <v>51</v>
      </c>
      <c r="B37" s="92">
        <v>1</v>
      </c>
      <c r="C37" s="92">
        <v>2</v>
      </c>
      <c r="D37" s="92">
        <v>3</v>
      </c>
      <c r="E37" s="92">
        <v>4</v>
      </c>
      <c r="F37" s="92">
        <v>5</v>
      </c>
      <c r="G37" s="92">
        <v>6</v>
      </c>
      <c r="H37" s="92">
        <v>7</v>
      </c>
      <c r="I37" s="92">
        <v>8</v>
      </c>
      <c r="J37" s="92">
        <v>9</v>
      </c>
      <c r="K37" s="92">
        <v>10</v>
      </c>
      <c r="L37" s="92">
        <v>11</v>
      </c>
      <c r="M37" s="92">
        <v>12</v>
      </c>
      <c r="O37" s="59"/>
      <c r="P37" s="59" t="s">
        <v>42</v>
      </c>
      <c r="Q37" s="59" t="s">
        <v>43</v>
      </c>
      <c r="R37" s="59" t="s">
        <v>44</v>
      </c>
      <c r="S37" s="59" t="s">
        <v>47</v>
      </c>
      <c r="T37" s="59" t="s">
        <v>48</v>
      </c>
      <c r="U37" s="59" t="s">
        <v>49</v>
      </c>
      <c r="V37" s="59" t="s">
        <v>33</v>
      </c>
      <c r="W37" s="59" t="s">
        <v>1</v>
      </c>
      <c r="X37" s="59" t="s">
        <v>3</v>
      </c>
      <c r="Y37" s="59" t="s">
        <v>6</v>
      </c>
      <c r="Z37" s="59" t="s">
        <v>5</v>
      </c>
      <c r="AA37" s="59" t="s">
        <v>9</v>
      </c>
      <c r="AB37" s="59" t="s">
        <v>10</v>
      </c>
      <c r="AC37" s="59" t="s">
        <v>245</v>
      </c>
      <c r="AE37" s="345" t="s">
        <v>254</v>
      </c>
      <c r="AF37" s="346"/>
      <c r="AG37" s="69" t="s">
        <v>274</v>
      </c>
      <c r="AH37" s="69" t="s">
        <v>255</v>
      </c>
    </row>
    <row r="38" spans="1:34" ht="15" hidden="1" customHeight="1" x14ac:dyDescent="0.25">
      <c r="A38" s="92">
        <v>2026</v>
      </c>
      <c r="B38" s="60">
        <v>4910.53</v>
      </c>
      <c r="C38" s="61"/>
      <c r="D38" s="62"/>
      <c r="E38" s="62"/>
      <c r="F38" s="62"/>
      <c r="G38" s="62"/>
      <c r="H38" s="62"/>
      <c r="I38" s="62"/>
      <c r="J38" s="62"/>
      <c r="K38" s="62"/>
      <c r="L38" s="62"/>
      <c r="M38" s="62"/>
      <c r="O38" s="63">
        <v>43540</v>
      </c>
      <c r="P38" s="64">
        <f>$D$21</f>
        <v>0</v>
      </c>
      <c r="Q38" s="65">
        <v>82656000</v>
      </c>
      <c r="R38" s="65">
        <v>70848000</v>
      </c>
      <c r="S38" s="65">
        <v>59040000</v>
      </c>
      <c r="T38" s="65">
        <v>49200000</v>
      </c>
      <c r="U38" s="65">
        <v>39360000</v>
      </c>
      <c r="V38" s="65">
        <v>29520000</v>
      </c>
      <c r="W38" s="65">
        <v>19680000</v>
      </c>
      <c r="X38" s="65">
        <v>15744000</v>
      </c>
      <c r="Y38" s="65">
        <v>11808000</v>
      </c>
      <c r="Z38" s="65">
        <v>8782200</v>
      </c>
      <c r="AA38" s="65">
        <v>6199200</v>
      </c>
      <c r="AB38" s="65">
        <v>4428000</v>
      </c>
      <c r="AC38" s="65">
        <v>2460000</v>
      </c>
      <c r="AD38" s="25">
        <f t="shared" ref="AD38:AD50" si="15">IF($C$35&gt;=AF38,1,0)</f>
        <v>0</v>
      </c>
      <c r="AE38" s="59" t="s">
        <v>42</v>
      </c>
      <c r="AF38" s="90">
        <f>Yeterlikler!D8</f>
        <v>123825000</v>
      </c>
      <c r="AG38" s="90">
        <f>Yeterlikler!E8</f>
        <v>371475000</v>
      </c>
      <c r="AH38" s="90">
        <f t="shared" ref="AH38:AH46" si="16">AG38*0.8</f>
        <v>297180000</v>
      </c>
    </row>
    <row r="39" spans="1:34" ht="15" hidden="1" customHeight="1" x14ac:dyDescent="0.25">
      <c r="A39" s="92">
        <v>2025</v>
      </c>
      <c r="B39" s="66">
        <v>3861.33</v>
      </c>
      <c r="C39" s="66">
        <v>3943.01</v>
      </c>
      <c r="D39" s="66">
        <v>4017.3</v>
      </c>
      <c r="E39" s="66">
        <v>4128.1899999999996</v>
      </c>
      <c r="F39" s="67">
        <v>4230.6899999999996</v>
      </c>
      <c r="G39" s="68">
        <v>4334.9399999999996</v>
      </c>
      <c r="H39" s="67">
        <v>4409.7299999999996</v>
      </c>
      <c r="I39" s="67">
        <v>4518.8900000000003</v>
      </c>
      <c r="J39" s="61">
        <v>4632.8900000000003</v>
      </c>
      <c r="K39" s="61">
        <v>4708.2</v>
      </c>
      <c r="L39" s="61">
        <v>4747.63</v>
      </c>
      <c r="M39" s="59">
        <v>4783.04</v>
      </c>
      <c r="O39" s="63">
        <v>43900</v>
      </c>
      <c r="P39" s="64">
        <f t="shared" ref="P39:P50" si="17">$D$21</f>
        <v>0</v>
      </c>
      <c r="Q39" s="65">
        <v>100170000</v>
      </c>
      <c r="R39" s="65">
        <v>85860000</v>
      </c>
      <c r="S39" s="65">
        <v>71550000</v>
      </c>
      <c r="T39" s="65">
        <v>59625000</v>
      </c>
      <c r="U39" s="65">
        <v>47700000</v>
      </c>
      <c r="V39" s="65">
        <v>35775000</v>
      </c>
      <c r="W39" s="65">
        <v>23850000</v>
      </c>
      <c r="X39" s="65">
        <v>19080000</v>
      </c>
      <c r="Y39" s="65">
        <v>14310000</v>
      </c>
      <c r="Z39" s="65">
        <v>10643062.5</v>
      </c>
      <c r="AA39" s="65">
        <v>7512750</v>
      </c>
      <c r="AB39" s="65">
        <v>5366250</v>
      </c>
      <c r="AC39" s="65">
        <v>2981250</v>
      </c>
      <c r="AD39" s="25">
        <f t="shared" si="15"/>
        <v>0</v>
      </c>
      <c r="AE39" s="59" t="s">
        <v>43</v>
      </c>
      <c r="AF39" s="90">
        <f>Yeterlikler!D9</f>
        <v>86677500</v>
      </c>
      <c r="AG39" s="90">
        <f>Yeterlikler!E9</f>
        <v>260032500</v>
      </c>
      <c r="AH39" s="90">
        <f t="shared" si="16"/>
        <v>208026000</v>
      </c>
    </row>
    <row r="40" spans="1:34" ht="15" hidden="1" customHeight="1" x14ac:dyDescent="0.25">
      <c r="A40" s="92">
        <v>2024</v>
      </c>
      <c r="B40" s="59">
        <v>3035.59</v>
      </c>
      <c r="C40" s="59">
        <v>3149.03</v>
      </c>
      <c r="D40" s="59">
        <v>3252.79</v>
      </c>
      <c r="E40" s="59">
        <v>3369.98</v>
      </c>
      <c r="F40" s="59">
        <v>3435.96</v>
      </c>
      <c r="G40" s="59">
        <v>3483.25</v>
      </c>
      <c r="H40" s="59">
        <v>3550.88</v>
      </c>
      <c r="I40" s="59">
        <v>3610.51</v>
      </c>
      <c r="J40" s="59">
        <v>3659.84</v>
      </c>
      <c r="K40" s="59">
        <v>3707.1</v>
      </c>
      <c r="L40" s="59">
        <v>3731.43</v>
      </c>
      <c r="M40" s="59">
        <v>3746.52</v>
      </c>
      <c r="O40" s="63">
        <v>44279</v>
      </c>
      <c r="P40" s="64">
        <f t="shared" si="17"/>
        <v>0</v>
      </c>
      <c r="Q40" s="65">
        <v>124236000</v>
      </c>
      <c r="R40" s="65">
        <v>106488000</v>
      </c>
      <c r="S40" s="65">
        <v>88740000</v>
      </c>
      <c r="T40" s="65">
        <v>73950000</v>
      </c>
      <c r="U40" s="65">
        <v>59160000</v>
      </c>
      <c r="V40" s="65">
        <v>44370000</v>
      </c>
      <c r="W40" s="65">
        <v>29580000</v>
      </c>
      <c r="X40" s="65">
        <v>23664000</v>
      </c>
      <c r="Y40" s="65">
        <v>17748000</v>
      </c>
      <c r="Z40" s="65">
        <v>13200075</v>
      </c>
      <c r="AA40" s="65">
        <v>9317700</v>
      </c>
      <c r="AB40" s="65">
        <v>6655500</v>
      </c>
      <c r="AC40" s="65">
        <v>3697500</v>
      </c>
      <c r="AD40" s="25">
        <f t="shared" si="15"/>
        <v>0</v>
      </c>
      <c r="AE40" s="59" t="s">
        <v>44</v>
      </c>
      <c r="AF40" s="90">
        <f>Yeterlikler!D10</f>
        <v>74295000</v>
      </c>
      <c r="AG40" s="90">
        <f>Yeterlikler!E10</f>
        <v>222885000</v>
      </c>
      <c r="AH40" s="90">
        <f t="shared" si="16"/>
        <v>178308000</v>
      </c>
    </row>
    <row r="41" spans="1:34" ht="15" hidden="1" customHeight="1" x14ac:dyDescent="0.25">
      <c r="A41" s="92">
        <v>2023</v>
      </c>
      <c r="B41" s="59">
        <v>2105.17</v>
      </c>
      <c r="C41" s="59">
        <v>2138.04</v>
      </c>
      <c r="D41" s="59">
        <v>2147.44</v>
      </c>
      <c r="E41" s="59">
        <v>2164.94</v>
      </c>
      <c r="F41" s="59">
        <v>2179.02</v>
      </c>
      <c r="G41" s="59">
        <v>2320.7199999999998</v>
      </c>
      <c r="H41" s="59">
        <v>2511.75</v>
      </c>
      <c r="I41" s="59">
        <v>2659.6</v>
      </c>
      <c r="J41" s="59">
        <v>2749.98</v>
      </c>
      <c r="K41" s="59">
        <v>2803.29</v>
      </c>
      <c r="L41" s="59">
        <v>2882.04</v>
      </c>
      <c r="M41" s="59">
        <v>2915.02</v>
      </c>
      <c r="O41" s="63">
        <v>44610</v>
      </c>
      <c r="P41" s="64">
        <f t="shared" si="17"/>
        <v>0</v>
      </c>
      <c r="Q41" s="65">
        <v>206010000</v>
      </c>
      <c r="R41" s="65">
        <v>176580000</v>
      </c>
      <c r="S41" s="65">
        <v>147150000</v>
      </c>
      <c r="T41" s="65">
        <v>122625000</v>
      </c>
      <c r="U41" s="65">
        <v>98100000</v>
      </c>
      <c r="V41" s="65">
        <v>73575000</v>
      </c>
      <c r="W41" s="65">
        <v>49050000</v>
      </c>
      <c r="X41" s="65">
        <v>39240000</v>
      </c>
      <c r="Y41" s="65">
        <v>29430000</v>
      </c>
      <c r="Z41" s="65">
        <v>21888562.5</v>
      </c>
      <c r="AA41" s="65">
        <v>15450750</v>
      </c>
      <c r="AB41" s="65">
        <v>11036250</v>
      </c>
      <c r="AC41" s="65">
        <v>6131250</v>
      </c>
      <c r="AD41" s="25">
        <f t="shared" si="15"/>
        <v>0</v>
      </c>
      <c r="AE41" s="59" t="s">
        <v>47</v>
      </c>
      <c r="AF41" s="90">
        <f>Yeterlikler!D11</f>
        <v>61912500</v>
      </c>
      <c r="AG41" s="90">
        <f>Yeterlikler!E11</f>
        <v>185737500</v>
      </c>
      <c r="AH41" s="90">
        <f t="shared" si="16"/>
        <v>148590000</v>
      </c>
    </row>
    <row r="42" spans="1:34" ht="15" hidden="1" customHeight="1" x14ac:dyDescent="0.25">
      <c r="A42" s="92">
        <v>2022</v>
      </c>
      <c r="B42" s="59">
        <v>1129.03</v>
      </c>
      <c r="C42" s="59">
        <v>1210.5999999999999</v>
      </c>
      <c r="D42" s="59">
        <v>1321.9</v>
      </c>
      <c r="E42" s="59">
        <v>1423.27</v>
      </c>
      <c r="F42" s="59">
        <v>1548.01</v>
      </c>
      <c r="G42" s="59">
        <v>1652.75</v>
      </c>
      <c r="H42" s="59">
        <v>1738.21</v>
      </c>
      <c r="I42" s="59">
        <v>1780.05</v>
      </c>
      <c r="J42" s="59">
        <v>1865.09</v>
      </c>
      <c r="K42" s="59">
        <v>2011.13</v>
      </c>
      <c r="L42" s="59">
        <v>2026.08</v>
      </c>
      <c r="M42" s="59">
        <v>2021.19</v>
      </c>
      <c r="O42" s="63">
        <v>44733</v>
      </c>
      <c r="P42" s="64">
        <f t="shared" si="17"/>
        <v>0</v>
      </c>
      <c r="Q42" s="65">
        <v>294462000</v>
      </c>
      <c r="R42" s="65">
        <v>252396000</v>
      </c>
      <c r="S42" s="65">
        <v>210330000</v>
      </c>
      <c r="T42" s="65">
        <v>175275000</v>
      </c>
      <c r="U42" s="65">
        <v>140220000</v>
      </c>
      <c r="V42" s="65">
        <v>105165000</v>
      </c>
      <c r="W42" s="65">
        <v>70110000</v>
      </c>
      <c r="X42" s="65">
        <v>56088000</v>
      </c>
      <c r="Y42" s="65">
        <v>42066000</v>
      </c>
      <c r="Z42" s="65">
        <v>31286587.5</v>
      </c>
      <c r="AA42" s="65">
        <v>22084650</v>
      </c>
      <c r="AB42" s="65">
        <v>15774750</v>
      </c>
      <c r="AC42" s="65">
        <v>8763750</v>
      </c>
      <c r="AD42" s="25">
        <f t="shared" si="15"/>
        <v>0</v>
      </c>
      <c r="AE42" s="59" t="s">
        <v>48</v>
      </c>
      <c r="AF42" s="90">
        <f>Yeterlikler!D12</f>
        <v>51593750</v>
      </c>
      <c r="AG42" s="90">
        <f>Yeterlikler!E12</f>
        <v>154781250</v>
      </c>
      <c r="AH42" s="90">
        <f t="shared" si="16"/>
        <v>123825000</v>
      </c>
    </row>
    <row r="43" spans="1:34" ht="15" hidden="1" customHeight="1" x14ac:dyDescent="0.25">
      <c r="A43" s="92">
        <v>2021</v>
      </c>
      <c r="B43" s="59">
        <v>583.38</v>
      </c>
      <c r="C43" s="59">
        <v>590.52</v>
      </c>
      <c r="D43" s="59">
        <v>614.92999999999995</v>
      </c>
      <c r="E43" s="59">
        <v>641.63</v>
      </c>
      <c r="F43" s="59">
        <v>666.79</v>
      </c>
      <c r="G43" s="59">
        <v>693.54</v>
      </c>
      <c r="H43" s="59">
        <v>710.61</v>
      </c>
      <c r="I43" s="59">
        <v>730.28</v>
      </c>
      <c r="J43" s="59">
        <v>741.58</v>
      </c>
      <c r="K43" s="59">
        <v>780.45</v>
      </c>
      <c r="L43" s="59">
        <v>858.43</v>
      </c>
      <c r="M43" s="59">
        <v>1022.25</v>
      </c>
      <c r="O43" s="63">
        <v>44817</v>
      </c>
      <c r="P43" s="64">
        <f t="shared" si="17"/>
        <v>0</v>
      </c>
      <c r="Q43" s="65">
        <v>319410000</v>
      </c>
      <c r="R43" s="65">
        <v>273780000</v>
      </c>
      <c r="S43" s="65">
        <v>228150000</v>
      </c>
      <c r="T43" s="65">
        <v>190125000</v>
      </c>
      <c r="U43" s="65">
        <v>152100000</v>
      </c>
      <c r="V43" s="65">
        <v>114075000</v>
      </c>
      <c r="W43" s="65">
        <v>76050000</v>
      </c>
      <c r="X43" s="65">
        <v>60840000</v>
      </c>
      <c r="Y43" s="65">
        <v>45630000</v>
      </c>
      <c r="Z43" s="65">
        <v>33937312.5</v>
      </c>
      <c r="AA43" s="65">
        <v>23955750</v>
      </c>
      <c r="AB43" s="65">
        <v>17111250</v>
      </c>
      <c r="AC43" s="65">
        <v>9506250</v>
      </c>
      <c r="AD43" s="25">
        <f t="shared" si="15"/>
        <v>0</v>
      </c>
      <c r="AE43" s="59" t="s">
        <v>49</v>
      </c>
      <c r="AF43" s="90">
        <f>Yeterlikler!D13</f>
        <v>41275000</v>
      </c>
      <c r="AG43" s="90">
        <f>Yeterlikler!E13</f>
        <v>123825000</v>
      </c>
      <c r="AH43" s="90">
        <f t="shared" si="16"/>
        <v>99060000</v>
      </c>
    </row>
    <row r="44" spans="1:34" ht="15" hidden="1" customHeight="1" x14ac:dyDescent="0.25">
      <c r="A44" s="92">
        <v>2020</v>
      </c>
      <c r="B44" s="59">
        <v>462.42</v>
      </c>
      <c r="C44" s="59">
        <v>464.64</v>
      </c>
      <c r="D44" s="59">
        <v>468.69</v>
      </c>
      <c r="E44" s="59">
        <v>474.69</v>
      </c>
      <c r="F44" s="59">
        <v>482.02</v>
      </c>
      <c r="G44" s="59">
        <v>485.37</v>
      </c>
      <c r="H44" s="59">
        <v>490.33</v>
      </c>
      <c r="I44" s="59">
        <v>501.85</v>
      </c>
      <c r="J44" s="59">
        <v>515.13</v>
      </c>
      <c r="K44" s="59">
        <v>533.44000000000005</v>
      </c>
      <c r="L44" s="59">
        <v>555.17999999999995</v>
      </c>
      <c r="M44" s="59">
        <v>568.27</v>
      </c>
      <c r="O44" s="63">
        <v>44968</v>
      </c>
      <c r="P44" s="64">
        <f t="shared" si="17"/>
        <v>0</v>
      </c>
      <c r="Q44" s="65">
        <v>437220000</v>
      </c>
      <c r="R44" s="65">
        <v>374760000</v>
      </c>
      <c r="S44" s="65">
        <v>312300000</v>
      </c>
      <c r="T44" s="65">
        <v>260250000</v>
      </c>
      <c r="U44" s="65">
        <v>208200000</v>
      </c>
      <c r="V44" s="65">
        <v>156150000</v>
      </c>
      <c r="W44" s="65">
        <v>104100000</v>
      </c>
      <c r="X44" s="65">
        <v>83280000</v>
      </c>
      <c r="Y44" s="65">
        <v>62460000</v>
      </c>
      <c r="Z44" s="65">
        <v>46454625</v>
      </c>
      <c r="AA44" s="65">
        <v>32791500</v>
      </c>
      <c r="AB44" s="65">
        <v>23422500</v>
      </c>
      <c r="AC44" s="65">
        <v>13012500</v>
      </c>
      <c r="AD44" s="25">
        <f t="shared" si="15"/>
        <v>0</v>
      </c>
      <c r="AE44" s="59" t="s">
        <v>33</v>
      </c>
      <c r="AF44" s="90">
        <f>Yeterlikler!D14</f>
        <v>30956250</v>
      </c>
      <c r="AG44" s="90">
        <f>Yeterlikler!E14</f>
        <v>92868750</v>
      </c>
      <c r="AH44" s="90">
        <f t="shared" si="16"/>
        <v>74295000</v>
      </c>
    </row>
    <row r="45" spans="1:34" ht="15" hidden="1" customHeight="1" x14ac:dyDescent="0.25">
      <c r="A45" s="92">
        <v>2019</v>
      </c>
      <c r="B45" s="59">
        <v>424.86</v>
      </c>
      <c r="C45" s="59">
        <v>425.26</v>
      </c>
      <c r="D45" s="59">
        <v>431.98</v>
      </c>
      <c r="E45" s="59">
        <v>444.85</v>
      </c>
      <c r="F45" s="59">
        <v>456.74</v>
      </c>
      <c r="G45" s="59">
        <v>457.16</v>
      </c>
      <c r="H45" s="59">
        <v>452.63</v>
      </c>
      <c r="I45" s="59">
        <v>449.96</v>
      </c>
      <c r="J45" s="59">
        <v>450.55</v>
      </c>
      <c r="K45" s="59">
        <v>451.31</v>
      </c>
      <c r="L45" s="59">
        <v>450.97</v>
      </c>
      <c r="M45" s="59">
        <v>454.08</v>
      </c>
      <c r="O45" s="63">
        <v>45150</v>
      </c>
      <c r="P45" s="64">
        <f t="shared" si="17"/>
        <v>0</v>
      </c>
      <c r="Q45" s="65">
        <v>645120000</v>
      </c>
      <c r="R45" s="65">
        <v>552960000</v>
      </c>
      <c r="S45" s="65">
        <v>460800000</v>
      </c>
      <c r="T45" s="65">
        <v>384000000</v>
      </c>
      <c r="U45" s="65">
        <v>307200000</v>
      </c>
      <c r="V45" s="65">
        <v>230400000</v>
      </c>
      <c r="W45" s="65">
        <v>153600000</v>
      </c>
      <c r="X45" s="65">
        <v>122880000</v>
      </c>
      <c r="Y45" s="65">
        <v>92160000</v>
      </c>
      <c r="Z45" s="65">
        <v>68544000</v>
      </c>
      <c r="AA45" s="65">
        <v>48384000</v>
      </c>
      <c r="AB45" s="65">
        <v>34560000</v>
      </c>
      <c r="AC45" s="65">
        <v>19200000</v>
      </c>
      <c r="AD45" s="25">
        <f t="shared" si="15"/>
        <v>0</v>
      </c>
      <c r="AE45" s="59" t="s">
        <v>1</v>
      </c>
      <c r="AF45" s="90">
        <f>Yeterlikler!D15</f>
        <v>20637500</v>
      </c>
      <c r="AG45" s="90">
        <f>Yeterlikler!E15</f>
        <v>41275000</v>
      </c>
      <c r="AH45" s="90">
        <f t="shared" si="16"/>
        <v>33020000</v>
      </c>
    </row>
    <row r="46" spans="1:34" ht="15" hidden="1" customHeight="1" x14ac:dyDescent="0.25">
      <c r="A46" s="92">
        <v>2018</v>
      </c>
      <c r="B46" s="59">
        <v>319.60000000000002</v>
      </c>
      <c r="C46" s="59">
        <v>328.17</v>
      </c>
      <c r="D46" s="59">
        <v>333.21</v>
      </c>
      <c r="E46" s="59">
        <v>341.88</v>
      </c>
      <c r="F46" s="59">
        <v>354.85</v>
      </c>
      <c r="G46" s="59">
        <v>365.6</v>
      </c>
      <c r="H46" s="59">
        <v>372.06</v>
      </c>
      <c r="I46" s="59">
        <v>396.62</v>
      </c>
      <c r="J46" s="59">
        <v>439.78</v>
      </c>
      <c r="K46" s="59">
        <v>443.78</v>
      </c>
      <c r="L46" s="59">
        <v>432.55</v>
      </c>
      <c r="M46" s="59">
        <v>422.94</v>
      </c>
      <c r="O46" s="63">
        <v>45244</v>
      </c>
      <c r="P46" s="64">
        <f t="shared" si="17"/>
        <v>0</v>
      </c>
      <c r="Q46" s="65">
        <v>645120000</v>
      </c>
      <c r="R46" s="65">
        <v>552960000</v>
      </c>
      <c r="S46" s="65">
        <v>460800000</v>
      </c>
      <c r="T46" s="65">
        <v>384000000</v>
      </c>
      <c r="U46" s="65">
        <v>307200000</v>
      </c>
      <c r="V46" s="65">
        <v>230400000</v>
      </c>
      <c r="W46" s="65">
        <v>176640000</v>
      </c>
      <c r="X46" s="65">
        <v>122880000</v>
      </c>
      <c r="Y46" s="65">
        <v>92160000</v>
      </c>
      <c r="Z46" s="65">
        <v>68544000</v>
      </c>
      <c r="AA46" s="65">
        <v>48384000</v>
      </c>
      <c r="AB46" s="65">
        <v>34560000</v>
      </c>
      <c r="AC46" s="65">
        <v>19200000</v>
      </c>
      <c r="AD46" s="25">
        <f t="shared" si="15"/>
        <v>0</v>
      </c>
      <c r="AE46" s="59" t="s">
        <v>3</v>
      </c>
      <c r="AF46" s="90">
        <f>Yeterlikler!D16</f>
        <v>12382500</v>
      </c>
      <c r="AG46" s="90">
        <f>Yeterlikler!E16</f>
        <v>24765000</v>
      </c>
      <c r="AH46" s="90">
        <f t="shared" si="16"/>
        <v>19812000</v>
      </c>
    </row>
    <row r="47" spans="1:34" ht="15" hidden="1" customHeight="1" x14ac:dyDescent="0.25">
      <c r="A47" s="92">
        <v>2017</v>
      </c>
      <c r="B47" s="59">
        <v>284.99</v>
      </c>
      <c r="C47" s="59">
        <v>288.58999999999997</v>
      </c>
      <c r="D47" s="59">
        <v>291.58</v>
      </c>
      <c r="E47" s="59">
        <v>293.79000000000002</v>
      </c>
      <c r="F47" s="59">
        <v>295.31</v>
      </c>
      <c r="G47" s="59">
        <v>295.52</v>
      </c>
      <c r="H47" s="59">
        <v>297.64999999999998</v>
      </c>
      <c r="I47" s="59">
        <v>300.18</v>
      </c>
      <c r="J47" s="59">
        <v>300.89999999999998</v>
      </c>
      <c r="K47" s="59">
        <v>306.04000000000002</v>
      </c>
      <c r="L47" s="59">
        <v>312.20999999999998</v>
      </c>
      <c r="M47" s="59">
        <v>316.48</v>
      </c>
      <c r="O47" s="63">
        <v>45342</v>
      </c>
      <c r="P47" s="64">
        <f t="shared" si="17"/>
        <v>0</v>
      </c>
      <c r="Q47" s="65">
        <v>983430000</v>
      </c>
      <c r="R47" s="65">
        <v>842940000</v>
      </c>
      <c r="S47" s="65">
        <v>702450000</v>
      </c>
      <c r="T47" s="65">
        <v>585375000</v>
      </c>
      <c r="U47" s="65">
        <v>468300000</v>
      </c>
      <c r="V47" s="65">
        <v>351225000</v>
      </c>
      <c r="W47" s="65">
        <v>269272500</v>
      </c>
      <c r="X47" s="65">
        <v>187320000</v>
      </c>
      <c r="Y47" s="65">
        <v>140490000</v>
      </c>
      <c r="Z47" s="65">
        <v>104489437.5</v>
      </c>
      <c r="AA47" s="65">
        <v>73757250</v>
      </c>
      <c r="AB47" s="65">
        <v>52683750</v>
      </c>
      <c r="AC47" s="65">
        <v>29268750</v>
      </c>
      <c r="AD47" s="25">
        <f t="shared" si="15"/>
        <v>0</v>
      </c>
      <c r="AE47" s="59" t="s">
        <v>6</v>
      </c>
      <c r="AF47" s="90">
        <f>Yeterlikler!D17</f>
        <v>6191250</v>
      </c>
      <c r="AG47" s="90"/>
      <c r="AH47" s="90"/>
    </row>
    <row r="48" spans="1:34" ht="15" hidden="1" customHeight="1" x14ac:dyDescent="0.25">
      <c r="A48" s="92">
        <v>2016</v>
      </c>
      <c r="B48" s="59">
        <v>250.67</v>
      </c>
      <c r="C48" s="59">
        <v>250.16</v>
      </c>
      <c r="D48" s="59">
        <v>251.17</v>
      </c>
      <c r="E48" s="59">
        <v>252.47</v>
      </c>
      <c r="F48" s="59">
        <v>256.20999999999998</v>
      </c>
      <c r="G48" s="59">
        <v>257.27</v>
      </c>
      <c r="H48" s="59">
        <v>257.81</v>
      </c>
      <c r="I48" s="59">
        <v>258.01</v>
      </c>
      <c r="J48" s="59">
        <v>258.77</v>
      </c>
      <c r="K48" s="59">
        <v>260.94</v>
      </c>
      <c r="L48" s="59">
        <v>266.16000000000003</v>
      </c>
      <c r="M48" s="59">
        <v>274.08999999999997</v>
      </c>
      <c r="O48" s="63">
        <v>45688</v>
      </c>
      <c r="P48" s="64">
        <f t="shared" si="17"/>
        <v>0</v>
      </c>
      <c r="Q48" s="65">
        <v>1428525000</v>
      </c>
      <c r="R48" s="65">
        <v>1224450000</v>
      </c>
      <c r="S48" s="65">
        <v>1020375000</v>
      </c>
      <c r="T48" s="65">
        <v>850312500</v>
      </c>
      <c r="U48" s="65">
        <v>680250000</v>
      </c>
      <c r="V48" s="65">
        <v>510187500</v>
      </c>
      <c r="W48" s="65">
        <v>391143749.99999994</v>
      </c>
      <c r="X48" s="65">
        <v>272100000</v>
      </c>
      <c r="Y48" s="65">
        <v>204075000</v>
      </c>
      <c r="Z48" s="65">
        <v>151780781.25</v>
      </c>
      <c r="AA48" s="65">
        <v>107139375</v>
      </c>
      <c r="AB48" s="65">
        <v>76528125</v>
      </c>
      <c r="AC48" s="65">
        <v>42515625</v>
      </c>
      <c r="AD48" s="25">
        <f t="shared" si="15"/>
        <v>0</v>
      </c>
      <c r="AE48" s="59" t="s">
        <v>5</v>
      </c>
      <c r="AF48" s="90">
        <f>Yeterlikler!D18</f>
        <v>5262562.5</v>
      </c>
      <c r="AG48" s="90"/>
      <c r="AH48" s="90"/>
    </row>
    <row r="49" spans="1:34" ht="15" hidden="1" customHeight="1" x14ac:dyDescent="0.25">
      <c r="A49" s="92">
        <v>2015</v>
      </c>
      <c r="B49" s="59">
        <v>236.61</v>
      </c>
      <c r="C49" s="59">
        <v>239.46</v>
      </c>
      <c r="D49" s="59">
        <v>241.97</v>
      </c>
      <c r="E49" s="59">
        <v>245.42</v>
      </c>
      <c r="F49" s="59">
        <v>248.15</v>
      </c>
      <c r="G49" s="59">
        <v>248.78</v>
      </c>
      <c r="H49" s="59">
        <v>247.99</v>
      </c>
      <c r="I49" s="59">
        <v>250.43</v>
      </c>
      <c r="J49" s="59">
        <v>254.25</v>
      </c>
      <c r="K49" s="59">
        <v>253.74</v>
      </c>
      <c r="L49" s="59">
        <v>250.13</v>
      </c>
      <c r="M49" s="59">
        <v>249.31</v>
      </c>
      <c r="O49" s="63">
        <v>45809</v>
      </c>
      <c r="P49" s="64">
        <f t="shared" si="17"/>
        <v>0</v>
      </c>
      <c r="Q49" s="65">
        <v>1428525000</v>
      </c>
      <c r="R49" s="65">
        <v>1224450000</v>
      </c>
      <c r="S49" s="65">
        <v>1020375000</v>
      </c>
      <c r="T49" s="65">
        <v>850312500</v>
      </c>
      <c r="U49" s="65">
        <v>680250000</v>
      </c>
      <c r="V49" s="65">
        <v>510187500</v>
      </c>
      <c r="W49" s="65">
        <v>391143749.99999994</v>
      </c>
      <c r="X49" s="65">
        <v>272100000</v>
      </c>
      <c r="Y49" s="65">
        <v>204075000</v>
      </c>
      <c r="Z49" s="65">
        <v>151780781.25</v>
      </c>
      <c r="AA49" s="65">
        <v>107139375</v>
      </c>
      <c r="AB49" s="65">
        <v>76528125</v>
      </c>
      <c r="AC49" s="65">
        <v>36441964.285714284</v>
      </c>
      <c r="AD49" s="25">
        <f t="shared" si="15"/>
        <v>0</v>
      </c>
      <c r="AE49" s="59" t="s">
        <v>9</v>
      </c>
      <c r="AF49" s="90">
        <f>Yeterlikler!D19</f>
        <v>4333875</v>
      </c>
      <c r="AG49" s="90"/>
      <c r="AH49" s="90"/>
    </row>
    <row r="50" spans="1:34" ht="15" hidden="1" customHeight="1" x14ac:dyDescent="0.25">
      <c r="A50" s="92">
        <v>2014</v>
      </c>
      <c r="B50" s="59">
        <v>229.1</v>
      </c>
      <c r="C50" s="59">
        <v>232.27</v>
      </c>
      <c r="D50" s="59">
        <v>233.98</v>
      </c>
      <c r="E50" s="59">
        <v>234.18</v>
      </c>
      <c r="F50" s="59">
        <v>232.96</v>
      </c>
      <c r="G50" s="59">
        <v>233.09</v>
      </c>
      <c r="H50" s="59">
        <v>234.79</v>
      </c>
      <c r="I50" s="59">
        <v>235.78</v>
      </c>
      <c r="J50" s="59">
        <v>237.79</v>
      </c>
      <c r="K50" s="59">
        <v>239.97</v>
      </c>
      <c r="L50" s="59">
        <v>237.65</v>
      </c>
      <c r="M50" s="59">
        <v>235.84</v>
      </c>
      <c r="O50" s="63">
        <v>46056</v>
      </c>
      <c r="P50" s="64">
        <f t="shared" si="17"/>
        <v>0</v>
      </c>
      <c r="Q50" s="65">
        <v>1428525000</v>
      </c>
      <c r="R50" s="65">
        <v>1224450000</v>
      </c>
      <c r="S50" s="65">
        <v>1020375000</v>
      </c>
      <c r="T50" s="65">
        <v>850312500</v>
      </c>
      <c r="U50" s="65">
        <v>680250000</v>
      </c>
      <c r="V50" s="65">
        <v>510187500</v>
      </c>
      <c r="W50" s="65">
        <v>391143749.99999994</v>
      </c>
      <c r="X50" s="65">
        <v>272100000</v>
      </c>
      <c r="Y50" s="65">
        <v>204075000</v>
      </c>
      <c r="Z50" s="65">
        <v>151780781.25</v>
      </c>
      <c r="AA50" s="65">
        <v>107139375</v>
      </c>
      <c r="AB50" s="65">
        <v>76528125</v>
      </c>
      <c r="AC50" s="65">
        <v>36441964.285714284</v>
      </c>
      <c r="AD50" s="25">
        <f t="shared" si="15"/>
        <v>0</v>
      </c>
      <c r="AE50" s="59" t="s">
        <v>10</v>
      </c>
      <c r="AF50" s="90">
        <f>Yeterlikler!D20</f>
        <v>3095625</v>
      </c>
      <c r="AG50" s="90"/>
      <c r="AH50" s="90"/>
    </row>
    <row r="51" spans="1:34" ht="15" hidden="1" customHeight="1" x14ac:dyDescent="0.25">
      <c r="A51" s="92">
        <v>2013</v>
      </c>
      <c r="B51" s="59">
        <v>206.91</v>
      </c>
      <c r="C51" s="59">
        <v>206.65</v>
      </c>
      <c r="D51" s="59">
        <v>208.33</v>
      </c>
      <c r="E51" s="59">
        <v>207.27</v>
      </c>
      <c r="F51" s="59">
        <v>209.34</v>
      </c>
      <c r="G51" s="59">
        <v>212.39</v>
      </c>
      <c r="H51" s="59">
        <v>214.5</v>
      </c>
      <c r="I51" s="59">
        <v>214.59</v>
      </c>
      <c r="J51" s="59">
        <v>216.48</v>
      </c>
      <c r="K51" s="59">
        <v>217.97</v>
      </c>
      <c r="L51" s="59">
        <v>219.31</v>
      </c>
      <c r="M51" s="59">
        <v>221.74</v>
      </c>
      <c r="AD51" s="71">
        <v>1</v>
      </c>
      <c r="AE51" s="25" t="s">
        <v>245</v>
      </c>
    </row>
    <row r="52" spans="1:34" ht="15" hidden="1" customHeight="1" x14ac:dyDescent="0.25">
      <c r="A52" s="92">
        <v>2012</v>
      </c>
      <c r="B52" s="59">
        <v>203.1</v>
      </c>
      <c r="C52" s="59">
        <v>202.91</v>
      </c>
      <c r="D52" s="59">
        <v>203.64</v>
      </c>
      <c r="E52" s="59">
        <v>203.81</v>
      </c>
      <c r="F52" s="59">
        <v>204.89</v>
      </c>
      <c r="G52" s="59">
        <v>201.83</v>
      </c>
      <c r="H52" s="59">
        <v>201.2</v>
      </c>
      <c r="I52" s="59">
        <v>201.71</v>
      </c>
      <c r="J52" s="59">
        <v>203.79</v>
      </c>
      <c r="K52" s="59">
        <v>204.15</v>
      </c>
      <c r="L52" s="59">
        <v>207.54</v>
      </c>
      <c r="M52" s="59">
        <v>207.29</v>
      </c>
    </row>
    <row r="53" spans="1:34" ht="15" hidden="1" customHeight="1" x14ac:dyDescent="0.25">
      <c r="A53" s="92">
        <v>2011</v>
      </c>
      <c r="B53" s="59">
        <v>182.75</v>
      </c>
      <c r="C53" s="59">
        <v>185.9</v>
      </c>
      <c r="D53" s="59">
        <v>188.17</v>
      </c>
      <c r="E53" s="59">
        <v>189.32</v>
      </c>
      <c r="F53" s="59">
        <v>189.61</v>
      </c>
      <c r="G53" s="59">
        <v>189.62</v>
      </c>
      <c r="H53" s="59">
        <v>189.57</v>
      </c>
      <c r="I53" s="59">
        <v>192.91</v>
      </c>
      <c r="J53" s="59">
        <v>195.89</v>
      </c>
      <c r="K53" s="59">
        <v>199.03</v>
      </c>
      <c r="L53" s="59">
        <v>200.32</v>
      </c>
      <c r="M53" s="59">
        <v>202.33</v>
      </c>
    </row>
    <row r="54" spans="1:34" ht="15" hidden="1" customHeight="1" x14ac:dyDescent="0.25">
      <c r="A54" s="92">
        <v>2010</v>
      </c>
      <c r="B54" s="59">
        <v>164.94</v>
      </c>
      <c r="C54" s="59">
        <v>167.68</v>
      </c>
      <c r="D54" s="59">
        <v>170.94</v>
      </c>
      <c r="E54" s="59">
        <v>174.96</v>
      </c>
      <c r="F54" s="59">
        <v>172.95</v>
      </c>
      <c r="G54" s="59">
        <v>172.08</v>
      </c>
      <c r="H54" s="59">
        <v>171.81</v>
      </c>
      <c r="I54" s="59">
        <v>173.79</v>
      </c>
      <c r="J54" s="59">
        <v>174.67</v>
      </c>
      <c r="K54" s="59">
        <v>176.78</v>
      </c>
      <c r="L54" s="59">
        <v>176.23</v>
      </c>
      <c r="M54" s="59">
        <v>178.54</v>
      </c>
    </row>
    <row r="55" spans="1:34" ht="15" hidden="1" customHeight="1" x14ac:dyDescent="0.25">
      <c r="A55" s="92">
        <v>2009</v>
      </c>
      <c r="B55" s="59">
        <v>155.16</v>
      </c>
      <c r="C55" s="59">
        <v>156.97</v>
      </c>
      <c r="D55" s="59">
        <v>157.43</v>
      </c>
      <c r="E55" s="59">
        <v>158.44999999999999</v>
      </c>
      <c r="F55" s="59">
        <v>158.37</v>
      </c>
      <c r="G55" s="59">
        <v>159.86000000000001</v>
      </c>
      <c r="H55" s="59">
        <v>158.74</v>
      </c>
      <c r="I55" s="59">
        <v>159.4</v>
      </c>
      <c r="J55" s="59">
        <v>160.38</v>
      </c>
      <c r="K55" s="59">
        <v>160.84</v>
      </c>
      <c r="L55" s="59">
        <v>162.91999999999999</v>
      </c>
      <c r="M55" s="59">
        <v>163.98</v>
      </c>
    </row>
    <row r="56" spans="1:34" ht="15" hidden="1" customHeight="1" x14ac:dyDescent="0.25">
      <c r="A56" s="92">
        <v>2008</v>
      </c>
      <c r="B56" s="59">
        <v>143.80000000000001</v>
      </c>
      <c r="C56" s="59">
        <v>147.47999999999999</v>
      </c>
      <c r="D56" s="59">
        <v>152.16</v>
      </c>
      <c r="E56" s="59">
        <v>159</v>
      </c>
      <c r="F56" s="59">
        <v>162.37</v>
      </c>
      <c r="G56" s="59">
        <v>162.9</v>
      </c>
      <c r="H56" s="59">
        <v>164.93</v>
      </c>
      <c r="I56" s="59">
        <v>161.07</v>
      </c>
      <c r="J56" s="59">
        <v>159.63</v>
      </c>
      <c r="K56" s="59">
        <v>160.54</v>
      </c>
      <c r="L56" s="59">
        <v>160.49</v>
      </c>
      <c r="M56" s="59">
        <v>154.80000000000001</v>
      </c>
    </row>
    <row r="57" spans="1:34" ht="15" hidden="1" customHeight="1" x14ac:dyDescent="0.25">
      <c r="A57" s="70"/>
      <c r="B57" s="70"/>
      <c r="C57" s="27"/>
      <c r="D57" s="30"/>
      <c r="E57" s="30"/>
      <c r="F57" s="30"/>
      <c r="G57" s="30"/>
      <c r="H57" s="30"/>
      <c r="I57" s="30"/>
      <c r="J57" s="30"/>
      <c r="K57" s="30"/>
      <c r="L57" s="30"/>
      <c r="M57" s="30"/>
    </row>
    <row r="58" spans="1:34" ht="15" hidden="1" customHeight="1" x14ac:dyDescent="0.25">
      <c r="A58" s="70"/>
      <c r="B58" s="70"/>
      <c r="C58" s="27"/>
      <c r="D58" s="30"/>
      <c r="E58" s="30"/>
      <c r="F58" s="30"/>
      <c r="G58" s="30"/>
      <c r="H58" s="30"/>
      <c r="I58" s="30"/>
      <c r="J58" s="30"/>
      <c r="K58" s="30"/>
      <c r="L58" s="30"/>
      <c r="M58" s="30"/>
    </row>
    <row r="59" spans="1:34" ht="15" hidden="1" customHeight="1" x14ac:dyDescent="0.25">
      <c r="A59" s="70"/>
      <c r="B59" s="70"/>
      <c r="C59" s="27"/>
      <c r="D59" s="30"/>
      <c r="E59" s="30"/>
      <c r="F59" s="30"/>
      <c r="G59" s="30"/>
      <c r="H59" s="30"/>
      <c r="I59" s="30"/>
      <c r="J59" s="30"/>
      <c r="K59" s="30"/>
      <c r="L59" s="30"/>
      <c r="M59" s="30"/>
    </row>
    <row r="60" spans="1:34" hidden="1" x14ac:dyDescent="0.25">
      <c r="A60" s="70"/>
      <c r="B60" s="70"/>
      <c r="C60" s="27"/>
      <c r="D60" s="30"/>
      <c r="E60" s="30"/>
      <c r="F60" s="30"/>
      <c r="G60" s="30"/>
      <c r="H60" s="30"/>
      <c r="I60" s="30"/>
      <c r="J60" s="30"/>
      <c r="K60" s="30"/>
      <c r="L60" s="30"/>
      <c r="M60" s="30"/>
    </row>
    <row r="61" spans="1:34" ht="15.75" hidden="1" x14ac:dyDescent="0.25">
      <c r="A61" s="19">
        <f t="shared" ref="A61:A72" ca="1" si="18">IF($D$34&gt;=C61,1,0)</f>
        <v>0</v>
      </c>
      <c r="B61" s="25" t="s">
        <v>42</v>
      </c>
      <c r="C61" s="167">
        <f>Yeterlikler!B8</f>
        <v>2476500000</v>
      </c>
      <c r="D61" s="19">
        <f t="array" aca="1" ref="D61" ca="1">MAX(IF(C28:P28&lt;15,C30:P30))</f>
        <v>0</v>
      </c>
    </row>
    <row r="62" spans="1:34" ht="15" hidden="1" customHeight="1" x14ac:dyDescent="0.25">
      <c r="A62" s="19">
        <f t="shared" ca="1" si="18"/>
        <v>0</v>
      </c>
      <c r="B62" s="25" t="s">
        <v>43</v>
      </c>
      <c r="C62" s="167">
        <f>Yeterlikler!B9</f>
        <v>1733550000</v>
      </c>
      <c r="D62" s="19"/>
    </row>
    <row r="63" spans="1:34" ht="15" hidden="1" customHeight="1" x14ac:dyDescent="0.25">
      <c r="A63" s="19">
        <f t="shared" ca="1" si="18"/>
        <v>0</v>
      </c>
      <c r="B63" s="25" t="s">
        <v>44</v>
      </c>
      <c r="C63" s="167">
        <f>Yeterlikler!B10</f>
        <v>1485900000</v>
      </c>
      <c r="D63" s="19"/>
    </row>
    <row r="64" spans="1:34" ht="15" hidden="1" customHeight="1" x14ac:dyDescent="0.25">
      <c r="A64" s="19">
        <f t="shared" ca="1" si="18"/>
        <v>0</v>
      </c>
      <c r="B64" s="25" t="s">
        <v>47</v>
      </c>
      <c r="C64" s="167">
        <f>Yeterlikler!B11</f>
        <v>1238250000</v>
      </c>
      <c r="D64" s="19"/>
    </row>
    <row r="65" spans="1:5" ht="15" hidden="1" customHeight="1" x14ac:dyDescent="0.25">
      <c r="A65" s="19">
        <f t="shared" ca="1" si="18"/>
        <v>0</v>
      </c>
      <c r="B65" s="25" t="s">
        <v>48</v>
      </c>
      <c r="C65" s="167">
        <f>Yeterlikler!B12</f>
        <v>1031875000</v>
      </c>
      <c r="D65" s="19"/>
    </row>
    <row r="66" spans="1:5" ht="15" hidden="1" customHeight="1" x14ac:dyDescent="0.25">
      <c r="A66" s="19">
        <f t="shared" ca="1" si="18"/>
        <v>0</v>
      </c>
      <c r="B66" s="25" t="s">
        <v>49</v>
      </c>
      <c r="C66" s="167">
        <f>Yeterlikler!B13</f>
        <v>825500000</v>
      </c>
      <c r="D66" s="19"/>
    </row>
    <row r="67" spans="1:5" ht="15" hidden="1" customHeight="1" x14ac:dyDescent="0.25">
      <c r="A67" s="19">
        <f t="shared" ca="1" si="18"/>
        <v>0</v>
      </c>
      <c r="B67" s="25" t="s">
        <v>33</v>
      </c>
      <c r="C67" s="167">
        <f>Yeterlikler!B14</f>
        <v>619125000</v>
      </c>
      <c r="D67" s="19"/>
    </row>
    <row r="68" spans="1:5" ht="15" hidden="1" customHeight="1" x14ac:dyDescent="0.25">
      <c r="A68" s="19">
        <f t="shared" ca="1" si="18"/>
        <v>0</v>
      </c>
      <c r="B68" s="25" t="s">
        <v>1</v>
      </c>
      <c r="C68" s="167">
        <f>Yeterlikler!B15</f>
        <v>412750000</v>
      </c>
      <c r="D68" s="19"/>
    </row>
    <row r="69" spans="1:5" ht="15" hidden="1" customHeight="1" x14ac:dyDescent="0.25">
      <c r="A69" s="19">
        <f t="shared" ca="1" si="18"/>
        <v>0</v>
      </c>
      <c r="B69" s="25" t="s">
        <v>3</v>
      </c>
      <c r="C69" s="167">
        <f>Yeterlikler!B16</f>
        <v>247650000</v>
      </c>
      <c r="D69" s="19"/>
    </row>
    <row r="70" spans="1:5" ht="15" hidden="1" customHeight="1" x14ac:dyDescent="0.25">
      <c r="A70" s="19">
        <f t="shared" ca="1" si="18"/>
        <v>0</v>
      </c>
      <c r="B70" s="25" t="s">
        <v>6</v>
      </c>
      <c r="C70" s="167">
        <f>Yeterlikler!B17</f>
        <v>123825000</v>
      </c>
      <c r="D70" s="19"/>
    </row>
    <row r="71" spans="1:5" ht="15" hidden="1" customHeight="1" x14ac:dyDescent="0.25">
      <c r="A71" s="19">
        <f t="shared" ca="1" si="18"/>
        <v>0</v>
      </c>
      <c r="B71" s="25" t="s">
        <v>5</v>
      </c>
      <c r="C71" s="167">
        <f>Yeterlikler!B18</f>
        <v>105251250</v>
      </c>
      <c r="D71" s="19"/>
    </row>
    <row r="72" spans="1:5" ht="15" hidden="1" customHeight="1" x14ac:dyDescent="0.25">
      <c r="A72" s="19">
        <f t="shared" ca="1" si="18"/>
        <v>0</v>
      </c>
      <c r="B72" s="25" t="s">
        <v>9</v>
      </c>
      <c r="C72" s="167">
        <f>Yeterlikler!B19</f>
        <v>86677500</v>
      </c>
      <c r="D72" s="19"/>
    </row>
    <row r="73" spans="1:5" ht="15" hidden="1" customHeight="1" x14ac:dyDescent="0.25">
      <c r="A73" s="19">
        <f ca="1">IF($D$34&gt;=C73,1,0)</f>
        <v>0</v>
      </c>
      <c r="B73" s="25" t="s">
        <v>10</v>
      </c>
      <c r="C73" s="167">
        <f>Yeterlikler!B20</f>
        <v>61912500</v>
      </c>
      <c r="D73" s="19"/>
    </row>
    <row r="74" spans="1:5" ht="15" hidden="1" customHeight="1" x14ac:dyDescent="0.25">
      <c r="A74" s="19">
        <v>1</v>
      </c>
      <c r="B74" s="25" t="s">
        <v>245</v>
      </c>
    </row>
    <row r="75" spans="1:5" hidden="1" x14ac:dyDescent="0.25">
      <c r="E75" s="71"/>
    </row>
    <row r="76" spans="1:5" ht="15" hidden="1" customHeight="1" x14ac:dyDescent="0.25">
      <c r="A76" s="25" t="s">
        <v>67</v>
      </c>
      <c r="B76" s="25" t="s">
        <v>67</v>
      </c>
      <c r="C76" s="25" t="s">
        <v>67</v>
      </c>
    </row>
    <row r="77" spans="1:5" ht="15" hidden="1" customHeight="1" x14ac:dyDescent="0.25">
      <c r="A77" s="25" t="s">
        <v>67</v>
      </c>
      <c r="B77" s="25" t="s">
        <v>112</v>
      </c>
      <c r="C77" s="25" t="s">
        <v>67</v>
      </c>
    </row>
    <row r="78" spans="1:5" ht="15" hidden="1" customHeight="1" x14ac:dyDescent="0.25">
      <c r="A78" s="25" t="s">
        <v>67</v>
      </c>
      <c r="B78" s="25" t="s">
        <v>113</v>
      </c>
      <c r="C78" s="25" t="s">
        <v>67</v>
      </c>
    </row>
    <row r="79" spans="1:5" ht="15" hidden="1" customHeight="1" x14ac:dyDescent="0.25">
      <c r="A79" s="25" t="s">
        <v>67</v>
      </c>
      <c r="B79" s="25" t="s">
        <v>114</v>
      </c>
      <c r="C79" s="25" t="s">
        <v>67</v>
      </c>
    </row>
    <row r="80" spans="1:5" ht="15" hidden="1" customHeight="1" x14ac:dyDescent="0.25">
      <c r="A80" s="25" t="s">
        <v>67</v>
      </c>
      <c r="B80" s="25" t="s">
        <v>115</v>
      </c>
      <c r="C80" s="25" t="s">
        <v>67</v>
      </c>
    </row>
    <row r="81" spans="1:3" ht="15" hidden="1" customHeight="1" x14ac:dyDescent="0.25">
      <c r="A81" s="25" t="s">
        <v>67</v>
      </c>
      <c r="B81" s="25" t="s">
        <v>116</v>
      </c>
      <c r="C81" s="25" t="s">
        <v>67</v>
      </c>
    </row>
    <row r="82" spans="1:3" ht="15" hidden="1" customHeight="1" x14ac:dyDescent="0.25">
      <c r="A82" s="25" t="s">
        <v>68</v>
      </c>
      <c r="B82" s="25" t="s">
        <v>68</v>
      </c>
      <c r="C82" s="25" t="s">
        <v>68</v>
      </c>
    </row>
    <row r="83" spans="1:3" ht="15" hidden="1" customHeight="1" x14ac:dyDescent="0.25">
      <c r="A83" s="25" t="s">
        <v>68</v>
      </c>
      <c r="B83" s="25" t="s">
        <v>117</v>
      </c>
      <c r="C83" s="25" t="s">
        <v>68</v>
      </c>
    </row>
    <row r="84" spans="1:3" ht="15" hidden="1" customHeight="1" x14ac:dyDescent="0.25">
      <c r="A84" s="25" t="s">
        <v>68</v>
      </c>
      <c r="B84" s="25" t="s">
        <v>118</v>
      </c>
      <c r="C84" s="25" t="s">
        <v>68</v>
      </c>
    </row>
    <row r="85" spans="1:3" ht="15" hidden="1" customHeight="1" x14ac:dyDescent="0.25">
      <c r="A85" s="25" t="s">
        <v>68</v>
      </c>
      <c r="B85" s="25" t="s">
        <v>119</v>
      </c>
      <c r="C85" s="25" t="s">
        <v>68</v>
      </c>
    </row>
    <row r="86" spans="1:3" ht="15" hidden="1" customHeight="1" x14ac:dyDescent="0.25">
      <c r="A86" s="25" t="s">
        <v>68</v>
      </c>
      <c r="B86" s="25" t="s">
        <v>120</v>
      </c>
      <c r="C86" s="25" t="s">
        <v>68</v>
      </c>
    </row>
    <row r="87" spans="1:3" ht="15" hidden="1" customHeight="1" x14ac:dyDescent="0.25">
      <c r="A87" s="25" t="s">
        <v>68</v>
      </c>
      <c r="B87" s="25" t="s">
        <v>121</v>
      </c>
      <c r="C87" s="25" t="s">
        <v>68</v>
      </c>
    </row>
    <row r="88" spans="1:3" ht="15" hidden="1" customHeight="1" x14ac:dyDescent="0.25">
      <c r="A88" s="25" t="s">
        <v>69</v>
      </c>
      <c r="B88" s="25" t="s">
        <v>69</v>
      </c>
      <c r="C88" s="25" t="s">
        <v>69</v>
      </c>
    </row>
    <row r="89" spans="1:3" ht="15" hidden="1" customHeight="1" x14ac:dyDescent="0.25">
      <c r="A89" s="25" t="s">
        <v>69</v>
      </c>
      <c r="B89" s="25" t="s">
        <v>122</v>
      </c>
      <c r="C89" s="25" t="s">
        <v>69</v>
      </c>
    </row>
    <row r="90" spans="1:3" ht="15" hidden="1" customHeight="1" x14ac:dyDescent="0.25">
      <c r="A90" s="25" t="s">
        <v>69</v>
      </c>
      <c r="B90" s="25" t="s">
        <v>123</v>
      </c>
      <c r="C90" s="25" t="s">
        <v>69</v>
      </c>
    </row>
    <row r="91" spans="1:3" ht="15" hidden="1" customHeight="1" x14ac:dyDescent="0.25">
      <c r="A91" s="25" t="s">
        <v>69</v>
      </c>
      <c r="B91" s="25" t="s">
        <v>124</v>
      </c>
      <c r="C91" s="25" t="s">
        <v>69</v>
      </c>
    </row>
    <row r="92" spans="1:3" ht="15" hidden="1" customHeight="1" x14ac:dyDescent="0.25">
      <c r="A92" s="25" t="s">
        <v>69</v>
      </c>
      <c r="B92" s="25" t="s">
        <v>125</v>
      </c>
      <c r="C92" s="25" t="s">
        <v>69</v>
      </c>
    </row>
    <row r="93" spans="1:3" ht="15" hidden="1" customHeight="1" x14ac:dyDescent="0.25">
      <c r="A93" s="25" t="s">
        <v>69</v>
      </c>
      <c r="B93" s="25" t="s">
        <v>126</v>
      </c>
      <c r="C93" s="25" t="s">
        <v>69</v>
      </c>
    </row>
    <row r="94" spans="1:3" ht="15" hidden="1" customHeight="1" x14ac:dyDescent="0.25">
      <c r="A94" s="25" t="s">
        <v>69</v>
      </c>
      <c r="B94" s="25" t="s">
        <v>127</v>
      </c>
      <c r="C94" s="25" t="s">
        <v>69</v>
      </c>
    </row>
    <row r="95" spans="1:3" ht="15" hidden="1" customHeight="1" x14ac:dyDescent="0.25">
      <c r="A95" s="25" t="s">
        <v>70</v>
      </c>
      <c r="B95" s="25" t="s">
        <v>70</v>
      </c>
      <c r="C95" s="25" t="s">
        <v>70</v>
      </c>
    </row>
    <row r="96" spans="1:3" ht="15" hidden="1" customHeight="1" x14ac:dyDescent="0.25">
      <c r="A96" s="25" t="s">
        <v>70</v>
      </c>
      <c r="B96" s="25" t="s">
        <v>128</v>
      </c>
      <c r="C96" s="25" t="s">
        <v>70</v>
      </c>
    </row>
    <row r="97" spans="1:3" ht="15" hidden="1" customHeight="1" x14ac:dyDescent="0.25">
      <c r="A97" s="25" t="s">
        <v>70</v>
      </c>
      <c r="B97" s="25" t="s">
        <v>129</v>
      </c>
      <c r="C97" s="25" t="s">
        <v>70</v>
      </c>
    </row>
    <row r="98" spans="1:3" ht="15" hidden="1" customHeight="1" x14ac:dyDescent="0.25">
      <c r="A98" s="25" t="s">
        <v>70</v>
      </c>
      <c r="B98" s="25" t="s">
        <v>130</v>
      </c>
      <c r="C98" s="25" t="s">
        <v>70</v>
      </c>
    </row>
    <row r="99" spans="1:3" ht="15" hidden="1" customHeight="1" x14ac:dyDescent="0.25">
      <c r="A99" s="25" t="s">
        <v>70</v>
      </c>
      <c r="B99" s="25" t="s">
        <v>131</v>
      </c>
      <c r="C99" s="25" t="s">
        <v>70</v>
      </c>
    </row>
    <row r="100" spans="1:3" ht="15" hidden="1" customHeight="1" x14ac:dyDescent="0.25">
      <c r="A100" s="25" t="s">
        <v>70</v>
      </c>
      <c r="B100" s="25" t="s">
        <v>225</v>
      </c>
      <c r="C100" s="25" t="s">
        <v>70</v>
      </c>
    </row>
    <row r="101" spans="1:3" ht="15" hidden="1" customHeight="1" x14ac:dyDescent="0.25">
      <c r="A101" s="25" t="s">
        <v>70</v>
      </c>
      <c r="B101" s="25" t="s">
        <v>132</v>
      </c>
      <c r="C101" s="25" t="s">
        <v>70</v>
      </c>
    </row>
    <row r="102" spans="1:3" ht="15" hidden="1" customHeight="1" x14ac:dyDescent="0.25">
      <c r="A102" s="25" t="s">
        <v>70</v>
      </c>
      <c r="B102" s="25" t="s">
        <v>133</v>
      </c>
      <c r="C102" s="25" t="s">
        <v>70</v>
      </c>
    </row>
    <row r="103" spans="1:3" ht="15" hidden="1" customHeight="1" x14ac:dyDescent="0.25">
      <c r="A103" s="25" t="s">
        <v>70</v>
      </c>
      <c r="B103" s="25" t="s">
        <v>134</v>
      </c>
      <c r="C103" s="25" t="s">
        <v>70</v>
      </c>
    </row>
    <row r="104" spans="1:3" ht="15" hidden="1" customHeight="1" x14ac:dyDescent="0.25">
      <c r="A104" s="25" t="s">
        <v>70</v>
      </c>
      <c r="B104" s="25" t="s">
        <v>135</v>
      </c>
      <c r="C104" s="25" t="s">
        <v>70</v>
      </c>
    </row>
    <row r="105" spans="1:3" ht="15" hidden="1" customHeight="1" x14ac:dyDescent="0.25">
      <c r="A105" s="25" t="s">
        <v>70</v>
      </c>
      <c r="B105" s="25" t="s">
        <v>136</v>
      </c>
      <c r="C105" s="25" t="s">
        <v>70</v>
      </c>
    </row>
    <row r="106" spans="1:3" hidden="1" x14ac:dyDescent="0.25">
      <c r="A106" s="25" t="s">
        <v>70</v>
      </c>
      <c r="B106" s="25" t="s">
        <v>137</v>
      </c>
      <c r="C106" s="25" t="s">
        <v>70</v>
      </c>
    </row>
    <row r="107" spans="1:3" hidden="1" x14ac:dyDescent="0.25">
      <c r="A107" s="25" t="s">
        <v>70</v>
      </c>
      <c r="B107" s="25" t="s">
        <v>138</v>
      </c>
      <c r="C107" s="25" t="s">
        <v>70</v>
      </c>
    </row>
    <row r="108" spans="1:3" hidden="1" x14ac:dyDescent="0.25">
      <c r="A108" s="25" t="s">
        <v>70</v>
      </c>
      <c r="B108" s="25" t="s">
        <v>139</v>
      </c>
      <c r="C108" s="25" t="s">
        <v>70</v>
      </c>
    </row>
    <row r="109" spans="1:3" hidden="1" x14ac:dyDescent="0.25">
      <c r="A109" s="25" t="s">
        <v>70</v>
      </c>
      <c r="B109" s="25" t="s">
        <v>140</v>
      </c>
      <c r="C109" s="25" t="s">
        <v>70</v>
      </c>
    </row>
    <row r="110" spans="1:3" hidden="1" x14ac:dyDescent="0.25">
      <c r="A110" s="25" t="s">
        <v>70</v>
      </c>
      <c r="B110" s="25" t="s">
        <v>141</v>
      </c>
      <c r="C110" s="25" t="s">
        <v>70</v>
      </c>
    </row>
    <row r="111" spans="1:3" hidden="1" x14ac:dyDescent="0.25">
      <c r="A111" s="25" t="s">
        <v>71</v>
      </c>
      <c r="B111" s="25" t="s">
        <v>71</v>
      </c>
      <c r="C111" s="25" t="s">
        <v>71</v>
      </c>
    </row>
    <row r="112" spans="1:3" hidden="1" x14ac:dyDescent="0.25">
      <c r="A112" s="25" t="s">
        <v>71</v>
      </c>
      <c r="B112" s="25" t="s">
        <v>142</v>
      </c>
      <c r="C112" s="25" t="s">
        <v>71</v>
      </c>
    </row>
    <row r="113" spans="1:3" hidden="1" x14ac:dyDescent="0.25">
      <c r="A113" s="25" t="s">
        <v>71</v>
      </c>
      <c r="B113" s="25" t="s">
        <v>143</v>
      </c>
      <c r="C113" s="25" t="s">
        <v>71</v>
      </c>
    </row>
    <row r="114" spans="1:3" hidden="1" x14ac:dyDescent="0.25">
      <c r="A114" s="25" t="s">
        <v>71</v>
      </c>
      <c r="B114" s="25" t="s">
        <v>144</v>
      </c>
      <c r="C114" s="25" t="s">
        <v>71</v>
      </c>
    </row>
    <row r="115" spans="1:3" hidden="1" x14ac:dyDescent="0.25">
      <c r="A115" s="25" t="s">
        <v>71</v>
      </c>
      <c r="B115" s="25" t="s">
        <v>145</v>
      </c>
      <c r="C115" s="25" t="s">
        <v>71</v>
      </c>
    </row>
    <row r="116" spans="1:3" hidden="1" x14ac:dyDescent="0.25">
      <c r="A116" s="25" t="s">
        <v>71</v>
      </c>
      <c r="B116" s="25" t="s">
        <v>146</v>
      </c>
      <c r="C116" s="25" t="s">
        <v>71</v>
      </c>
    </row>
    <row r="117" spans="1:3" hidden="1" x14ac:dyDescent="0.25">
      <c r="A117" s="25" t="s">
        <v>71</v>
      </c>
      <c r="B117" s="25" t="s">
        <v>147</v>
      </c>
      <c r="C117" s="25" t="s">
        <v>71</v>
      </c>
    </row>
    <row r="118" spans="1:3" hidden="1" x14ac:dyDescent="0.25">
      <c r="A118" s="25" t="s">
        <v>71</v>
      </c>
      <c r="B118" s="25" t="s">
        <v>148</v>
      </c>
      <c r="C118" s="25" t="s">
        <v>71</v>
      </c>
    </row>
    <row r="119" spans="1:3" hidden="1" x14ac:dyDescent="0.25">
      <c r="A119" s="25" t="s">
        <v>71</v>
      </c>
      <c r="B119" s="25" t="s">
        <v>149</v>
      </c>
      <c r="C119" s="25" t="s">
        <v>71</v>
      </c>
    </row>
    <row r="120" spans="1:3" hidden="1" x14ac:dyDescent="0.25">
      <c r="A120" s="25" t="s">
        <v>71</v>
      </c>
      <c r="B120" s="25" t="s">
        <v>150</v>
      </c>
      <c r="C120" s="25" t="s">
        <v>71</v>
      </c>
    </row>
    <row r="121" spans="1:3" hidden="1" x14ac:dyDescent="0.25">
      <c r="A121" s="25" t="s">
        <v>71</v>
      </c>
      <c r="B121" s="25" t="s">
        <v>151</v>
      </c>
      <c r="C121" s="25" t="s">
        <v>71</v>
      </c>
    </row>
    <row r="122" spans="1:3" hidden="1" x14ac:dyDescent="0.25">
      <c r="A122" s="25" t="s">
        <v>71</v>
      </c>
      <c r="B122" s="25" t="s">
        <v>152</v>
      </c>
      <c r="C122" s="25" t="s">
        <v>71</v>
      </c>
    </row>
    <row r="123" spans="1:3" hidden="1" x14ac:dyDescent="0.25">
      <c r="A123" s="25" t="s">
        <v>71</v>
      </c>
      <c r="B123" s="25" t="s">
        <v>226</v>
      </c>
      <c r="C123" s="25" t="s">
        <v>71</v>
      </c>
    </row>
    <row r="124" spans="1:3" hidden="1" x14ac:dyDescent="0.25">
      <c r="A124" s="25" t="s">
        <v>71</v>
      </c>
      <c r="B124" s="25" t="s">
        <v>153</v>
      </c>
      <c r="C124" s="25" t="s">
        <v>71</v>
      </c>
    </row>
    <row r="125" spans="1:3" hidden="1" x14ac:dyDescent="0.25">
      <c r="A125" s="25" t="s">
        <v>71</v>
      </c>
      <c r="B125" s="25" t="s">
        <v>154</v>
      </c>
      <c r="C125" s="25" t="s">
        <v>71</v>
      </c>
    </row>
    <row r="126" spans="1:3" hidden="1" x14ac:dyDescent="0.25">
      <c r="A126" s="25" t="s">
        <v>71</v>
      </c>
      <c r="B126" s="25" t="s">
        <v>227</v>
      </c>
      <c r="C126" s="25" t="s">
        <v>71</v>
      </c>
    </row>
    <row r="127" spans="1:3" hidden="1" x14ac:dyDescent="0.25">
      <c r="A127" s="25" t="s">
        <v>71</v>
      </c>
      <c r="B127" s="25" t="s">
        <v>155</v>
      </c>
      <c r="C127" s="25" t="s">
        <v>71</v>
      </c>
    </row>
    <row r="128" spans="1:3" hidden="1" x14ac:dyDescent="0.25">
      <c r="A128" s="25" t="s">
        <v>71</v>
      </c>
      <c r="B128" s="25" t="s">
        <v>156</v>
      </c>
      <c r="C128" s="25" t="s">
        <v>71</v>
      </c>
    </row>
    <row r="129" spans="1:3" hidden="1" x14ac:dyDescent="0.25">
      <c r="A129" s="25" t="s">
        <v>101</v>
      </c>
      <c r="B129" s="25" t="s">
        <v>101</v>
      </c>
      <c r="C129" s="25" t="s">
        <v>101</v>
      </c>
    </row>
    <row r="130" spans="1:3" hidden="1" x14ac:dyDescent="0.25">
      <c r="A130" s="25" t="s">
        <v>101</v>
      </c>
      <c r="B130" s="25" t="s">
        <v>157</v>
      </c>
      <c r="C130" s="25" t="s">
        <v>101</v>
      </c>
    </row>
    <row r="131" spans="1:3" hidden="1" x14ac:dyDescent="0.25">
      <c r="A131" s="25" t="s">
        <v>101</v>
      </c>
      <c r="B131" s="25" t="s">
        <v>158</v>
      </c>
      <c r="C131" s="25" t="s">
        <v>101</v>
      </c>
    </row>
    <row r="132" spans="1:3" hidden="1" x14ac:dyDescent="0.25">
      <c r="A132" s="25" t="s">
        <v>101</v>
      </c>
      <c r="B132" s="25" t="s">
        <v>159</v>
      </c>
      <c r="C132" s="25" t="s">
        <v>101</v>
      </c>
    </row>
    <row r="133" spans="1:3" hidden="1" x14ac:dyDescent="0.25">
      <c r="A133" s="25" t="s">
        <v>101</v>
      </c>
      <c r="B133" s="25" t="s">
        <v>160</v>
      </c>
      <c r="C133" s="25" t="s">
        <v>101</v>
      </c>
    </row>
    <row r="134" spans="1:3" hidden="1" x14ac:dyDescent="0.25">
      <c r="A134" s="25" t="s">
        <v>101</v>
      </c>
      <c r="B134" s="25" t="s">
        <v>161</v>
      </c>
      <c r="C134" s="25" t="s">
        <v>101</v>
      </c>
    </row>
    <row r="135" spans="1:3" hidden="1" x14ac:dyDescent="0.25">
      <c r="A135" s="25" t="s">
        <v>101</v>
      </c>
      <c r="B135" s="25" t="s">
        <v>228</v>
      </c>
      <c r="C135" s="25" t="s">
        <v>101</v>
      </c>
    </row>
    <row r="136" spans="1:3" hidden="1" x14ac:dyDescent="0.25">
      <c r="A136" s="25" t="s">
        <v>101</v>
      </c>
      <c r="B136" s="25" t="s">
        <v>162</v>
      </c>
      <c r="C136" s="25" t="s">
        <v>101</v>
      </c>
    </row>
    <row r="137" spans="1:3" hidden="1" x14ac:dyDescent="0.25">
      <c r="A137" s="25" t="s">
        <v>101</v>
      </c>
      <c r="B137" s="25" t="s">
        <v>229</v>
      </c>
      <c r="C137" s="25" t="s">
        <v>101</v>
      </c>
    </row>
    <row r="138" spans="1:3" hidden="1" x14ac:dyDescent="0.25">
      <c r="A138" s="25" t="s">
        <v>101</v>
      </c>
      <c r="B138" s="25" t="s">
        <v>163</v>
      </c>
      <c r="C138" s="25" t="s">
        <v>101</v>
      </c>
    </row>
    <row r="139" spans="1:3" hidden="1" x14ac:dyDescent="0.25">
      <c r="A139" s="25" t="s">
        <v>101</v>
      </c>
      <c r="B139" s="25" t="s">
        <v>230</v>
      </c>
      <c r="C139" s="25" t="s">
        <v>101</v>
      </c>
    </row>
    <row r="140" spans="1:3" hidden="1" x14ac:dyDescent="0.25">
      <c r="A140" s="25" t="s">
        <v>101</v>
      </c>
      <c r="B140" s="25" t="s">
        <v>164</v>
      </c>
      <c r="C140" s="25" t="s">
        <v>101</v>
      </c>
    </row>
    <row r="141" spans="1:3" hidden="1" x14ac:dyDescent="0.25">
      <c r="A141" s="25" t="s">
        <v>101</v>
      </c>
      <c r="B141" s="25" t="s">
        <v>165</v>
      </c>
      <c r="C141" s="25" t="s">
        <v>101</v>
      </c>
    </row>
    <row r="142" spans="1:3" hidden="1" x14ac:dyDescent="0.25">
      <c r="A142" s="25" t="s">
        <v>101</v>
      </c>
      <c r="B142" s="25" t="s">
        <v>166</v>
      </c>
      <c r="C142" s="25" t="s">
        <v>101</v>
      </c>
    </row>
    <row r="143" spans="1:3" hidden="1" x14ac:dyDescent="0.25">
      <c r="A143" s="25" t="s">
        <v>72</v>
      </c>
      <c r="B143" s="25" t="s">
        <v>72</v>
      </c>
      <c r="C143" s="25" t="s">
        <v>72</v>
      </c>
    </row>
    <row r="144" spans="1:3" hidden="1" x14ac:dyDescent="0.25">
      <c r="A144" s="25" t="s">
        <v>72</v>
      </c>
      <c r="B144" s="25" t="s">
        <v>167</v>
      </c>
      <c r="C144" s="25" t="s">
        <v>72</v>
      </c>
    </row>
    <row r="145" spans="1:3" hidden="1" x14ac:dyDescent="0.25">
      <c r="A145" s="25" t="s">
        <v>72</v>
      </c>
      <c r="B145" s="25" t="s">
        <v>168</v>
      </c>
      <c r="C145" s="25" t="s">
        <v>72</v>
      </c>
    </row>
    <row r="146" spans="1:3" hidden="1" x14ac:dyDescent="0.25">
      <c r="A146" s="25" t="s">
        <v>72</v>
      </c>
      <c r="B146" s="25" t="s">
        <v>169</v>
      </c>
      <c r="C146" s="25" t="s">
        <v>72</v>
      </c>
    </row>
    <row r="147" spans="1:3" hidden="1" x14ac:dyDescent="0.25">
      <c r="A147" s="25" t="s">
        <v>72</v>
      </c>
      <c r="B147" s="25" t="s">
        <v>170</v>
      </c>
      <c r="C147" s="25" t="s">
        <v>72</v>
      </c>
    </row>
    <row r="148" spans="1:3" hidden="1" x14ac:dyDescent="0.25">
      <c r="A148" s="25" t="s">
        <v>72</v>
      </c>
      <c r="B148" s="25" t="s">
        <v>171</v>
      </c>
      <c r="C148" s="25" t="s">
        <v>72</v>
      </c>
    </row>
    <row r="149" spans="1:3" hidden="1" x14ac:dyDescent="0.25">
      <c r="A149" s="25" t="s">
        <v>72</v>
      </c>
      <c r="B149" s="25" t="s">
        <v>172</v>
      </c>
      <c r="C149" s="25" t="s">
        <v>72</v>
      </c>
    </row>
    <row r="150" spans="1:3" hidden="1" x14ac:dyDescent="0.25">
      <c r="A150" s="25" t="s">
        <v>72</v>
      </c>
      <c r="B150" s="25" t="s">
        <v>173</v>
      </c>
      <c r="C150" s="25" t="s">
        <v>72</v>
      </c>
    </row>
    <row r="151" spans="1:3" hidden="1" x14ac:dyDescent="0.25">
      <c r="A151" s="25" t="s">
        <v>72</v>
      </c>
      <c r="B151" s="25" t="s">
        <v>174</v>
      </c>
      <c r="C151" s="25" t="s">
        <v>72</v>
      </c>
    </row>
    <row r="152" spans="1:3" hidden="1" x14ac:dyDescent="0.25">
      <c r="A152" s="25" t="s">
        <v>72</v>
      </c>
      <c r="B152" s="25" t="s">
        <v>231</v>
      </c>
      <c r="C152" s="25" t="s">
        <v>72</v>
      </c>
    </row>
    <row r="153" spans="1:3" hidden="1" x14ac:dyDescent="0.25">
      <c r="A153" s="25" t="s">
        <v>72</v>
      </c>
      <c r="B153" s="25" t="s">
        <v>232</v>
      </c>
      <c r="C153" s="25" t="s">
        <v>72</v>
      </c>
    </row>
    <row r="154" spans="1:3" hidden="1" x14ac:dyDescent="0.25">
      <c r="A154" s="25" t="s">
        <v>72</v>
      </c>
      <c r="B154" s="25" t="s">
        <v>175</v>
      </c>
      <c r="C154" s="25" t="s">
        <v>72</v>
      </c>
    </row>
    <row r="155" spans="1:3" hidden="1" x14ac:dyDescent="0.25">
      <c r="A155" s="25" t="s">
        <v>72</v>
      </c>
      <c r="B155" s="25" t="s">
        <v>233</v>
      </c>
      <c r="C155" s="25" t="s">
        <v>72</v>
      </c>
    </row>
    <row r="156" spans="1:3" hidden="1" x14ac:dyDescent="0.25">
      <c r="A156" s="25" t="s">
        <v>72</v>
      </c>
      <c r="B156" s="25" t="s">
        <v>176</v>
      </c>
      <c r="C156" s="25" t="s">
        <v>72</v>
      </c>
    </row>
    <row r="157" spans="1:3" hidden="1" x14ac:dyDescent="0.25">
      <c r="A157" s="25" t="s">
        <v>72</v>
      </c>
      <c r="B157" s="25" t="s">
        <v>177</v>
      </c>
      <c r="C157" s="25" t="s">
        <v>72</v>
      </c>
    </row>
    <row r="158" spans="1:3" hidden="1" x14ac:dyDescent="0.25">
      <c r="A158" s="25" t="s">
        <v>72</v>
      </c>
      <c r="B158" s="25" t="s">
        <v>178</v>
      </c>
      <c r="C158" s="25" t="s">
        <v>72</v>
      </c>
    </row>
    <row r="159" spans="1:3" hidden="1" x14ac:dyDescent="0.25">
      <c r="A159" s="25" t="s">
        <v>72</v>
      </c>
      <c r="B159" s="25" t="s">
        <v>179</v>
      </c>
      <c r="C159" s="25" t="s">
        <v>72</v>
      </c>
    </row>
    <row r="160" spans="1:3" hidden="1" x14ac:dyDescent="0.25">
      <c r="A160" s="25" t="s">
        <v>72</v>
      </c>
      <c r="B160" s="25" t="s">
        <v>180</v>
      </c>
      <c r="C160" s="25" t="s">
        <v>72</v>
      </c>
    </row>
    <row r="161" spans="1:3" hidden="1" x14ac:dyDescent="0.25">
      <c r="A161" s="25" t="s">
        <v>72</v>
      </c>
      <c r="B161" s="25" t="s">
        <v>181</v>
      </c>
      <c r="C161" s="25" t="s">
        <v>72</v>
      </c>
    </row>
    <row r="162" spans="1:3" hidden="1" x14ac:dyDescent="0.25">
      <c r="A162" s="25" t="s">
        <v>72</v>
      </c>
      <c r="B162" s="25" t="s">
        <v>182</v>
      </c>
      <c r="C162" s="25" t="s">
        <v>72</v>
      </c>
    </row>
    <row r="163" spans="1:3" hidden="1" x14ac:dyDescent="0.25">
      <c r="A163" s="25" t="s">
        <v>73</v>
      </c>
      <c r="B163" s="25" t="s">
        <v>73</v>
      </c>
      <c r="C163" s="25" t="s">
        <v>73</v>
      </c>
    </row>
    <row r="164" spans="1:3" hidden="1" x14ac:dyDescent="0.25">
      <c r="A164" s="25" t="s">
        <v>73</v>
      </c>
      <c r="B164" s="25" t="s">
        <v>183</v>
      </c>
      <c r="C164" s="25" t="s">
        <v>73</v>
      </c>
    </row>
    <row r="165" spans="1:3" hidden="1" x14ac:dyDescent="0.25">
      <c r="A165" s="25" t="s">
        <v>73</v>
      </c>
      <c r="B165" s="25" t="s">
        <v>184</v>
      </c>
      <c r="C165" s="25" t="s">
        <v>73</v>
      </c>
    </row>
    <row r="166" spans="1:3" hidden="1" x14ac:dyDescent="0.25">
      <c r="A166" s="25" t="s">
        <v>73</v>
      </c>
      <c r="B166" s="25" t="s">
        <v>185</v>
      </c>
      <c r="C166" s="25" t="s">
        <v>73</v>
      </c>
    </row>
    <row r="167" spans="1:3" hidden="1" x14ac:dyDescent="0.25">
      <c r="A167" s="25" t="s">
        <v>73</v>
      </c>
      <c r="B167" s="25" t="s">
        <v>186</v>
      </c>
      <c r="C167" s="25" t="s">
        <v>73</v>
      </c>
    </row>
    <row r="168" spans="1:3" hidden="1" x14ac:dyDescent="0.25">
      <c r="A168" s="25" t="s">
        <v>73</v>
      </c>
      <c r="B168" s="25" t="s">
        <v>187</v>
      </c>
      <c r="C168" s="25" t="s">
        <v>73</v>
      </c>
    </row>
    <row r="169" spans="1:3" hidden="1" x14ac:dyDescent="0.25">
      <c r="A169" s="25" t="s">
        <v>73</v>
      </c>
      <c r="B169" s="25" t="s">
        <v>234</v>
      </c>
      <c r="C169" s="25" t="s">
        <v>73</v>
      </c>
    </row>
    <row r="170" spans="1:3" hidden="1" x14ac:dyDescent="0.25">
      <c r="A170" s="25" t="s">
        <v>73</v>
      </c>
      <c r="B170" s="25" t="s">
        <v>235</v>
      </c>
      <c r="C170" s="25" t="s">
        <v>73</v>
      </c>
    </row>
    <row r="171" spans="1:3" hidden="1" x14ac:dyDescent="0.25">
      <c r="A171" s="25" t="s">
        <v>73</v>
      </c>
      <c r="B171" s="25" t="s">
        <v>188</v>
      </c>
      <c r="C171" s="25" t="s">
        <v>73</v>
      </c>
    </row>
    <row r="172" spans="1:3" hidden="1" x14ac:dyDescent="0.25">
      <c r="A172" s="25" t="s">
        <v>73</v>
      </c>
      <c r="B172" s="25" t="s">
        <v>189</v>
      </c>
      <c r="C172" s="25" t="s">
        <v>73</v>
      </c>
    </row>
    <row r="173" spans="1:3" hidden="1" x14ac:dyDescent="0.25">
      <c r="A173" s="25" t="s">
        <v>73</v>
      </c>
      <c r="B173" s="25" t="s">
        <v>236</v>
      </c>
      <c r="C173" s="25" t="s">
        <v>73</v>
      </c>
    </row>
    <row r="174" spans="1:3" hidden="1" x14ac:dyDescent="0.25">
      <c r="A174" s="25" t="s">
        <v>73</v>
      </c>
      <c r="B174" s="25" t="s">
        <v>237</v>
      </c>
      <c r="C174" s="25" t="s">
        <v>73</v>
      </c>
    </row>
    <row r="175" spans="1:3" hidden="1" x14ac:dyDescent="0.25">
      <c r="A175" s="25" t="s">
        <v>73</v>
      </c>
      <c r="B175" s="25" t="s">
        <v>190</v>
      </c>
      <c r="C175" s="25" t="s">
        <v>73</v>
      </c>
    </row>
    <row r="176" spans="1:3" hidden="1" x14ac:dyDescent="0.25">
      <c r="A176" s="25" t="s">
        <v>73</v>
      </c>
      <c r="B176" s="25" t="s">
        <v>191</v>
      </c>
      <c r="C176" s="25" t="s">
        <v>73</v>
      </c>
    </row>
    <row r="177" spans="1:3" hidden="1" x14ac:dyDescent="0.25">
      <c r="A177" s="25" t="s">
        <v>73</v>
      </c>
      <c r="B177" s="25" t="s">
        <v>192</v>
      </c>
      <c r="C177" s="25" t="s">
        <v>73</v>
      </c>
    </row>
    <row r="178" spans="1:3" hidden="1" x14ac:dyDescent="0.25">
      <c r="A178" s="25" t="s">
        <v>74</v>
      </c>
      <c r="B178" s="25" t="s">
        <v>74</v>
      </c>
      <c r="C178" s="25" t="s">
        <v>74</v>
      </c>
    </row>
    <row r="179" spans="1:3" hidden="1" x14ac:dyDescent="0.25">
      <c r="A179" s="25" t="s">
        <v>74</v>
      </c>
      <c r="B179" s="25" t="s">
        <v>193</v>
      </c>
      <c r="C179" s="25" t="s">
        <v>74</v>
      </c>
    </row>
    <row r="180" spans="1:3" hidden="1" x14ac:dyDescent="0.25">
      <c r="A180" s="25" t="s">
        <v>74</v>
      </c>
      <c r="B180" s="25" t="s">
        <v>194</v>
      </c>
      <c r="C180" s="25" t="s">
        <v>74</v>
      </c>
    </row>
    <row r="181" spans="1:3" hidden="1" x14ac:dyDescent="0.25">
      <c r="A181" s="25" t="s">
        <v>74</v>
      </c>
      <c r="B181" s="25" t="s">
        <v>195</v>
      </c>
      <c r="C181" s="25" t="s">
        <v>74</v>
      </c>
    </row>
    <row r="182" spans="1:3" hidden="1" x14ac:dyDescent="0.25">
      <c r="A182" s="25" t="s">
        <v>74</v>
      </c>
      <c r="B182" s="25" t="s">
        <v>196</v>
      </c>
      <c r="C182" s="25" t="s">
        <v>74</v>
      </c>
    </row>
    <row r="183" spans="1:3" hidden="1" x14ac:dyDescent="0.25">
      <c r="A183" s="25" t="s">
        <v>74</v>
      </c>
      <c r="B183" s="25" t="s">
        <v>197</v>
      </c>
      <c r="C183" s="25" t="s">
        <v>74</v>
      </c>
    </row>
    <row r="184" spans="1:3" hidden="1" x14ac:dyDescent="0.25">
      <c r="A184" s="25" t="s">
        <v>74</v>
      </c>
      <c r="B184" s="25" t="s">
        <v>198</v>
      </c>
      <c r="C184" s="25" t="s">
        <v>74</v>
      </c>
    </row>
    <row r="185" spans="1:3" hidden="1" x14ac:dyDescent="0.25">
      <c r="A185" s="25" t="s">
        <v>74</v>
      </c>
      <c r="B185" s="25" t="s">
        <v>199</v>
      </c>
      <c r="C185" s="25" t="s">
        <v>74</v>
      </c>
    </row>
    <row r="186" spans="1:3" hidden="1" x14ac:dyDescent="0.25">
      <c r="A186" s="25" t="s">
        <v>74</v>
      </c>
      <c r="B186" s="25" t="s">
        <v>200</v>
      </c>
      <c r="C186" s="25" t="s">
        <v>74</v>
      </c>
    </row>
    <row r="187" spans="1:3" hidden="1" x14ac:dyDescent="0.25">
      <c r="A187" s="25" t="s">
        <v>74</v>
      </c>
      <c r="B187" s="25" t="s">
        <v>201</v>
      </c>
      <c r="C187" s="25" t="s">
        <v>74</v>
      </c>
    </row>
    <row r="188" spans="1:3" hidden="1" x14ac:dyDescent="0.25">
      <c r="A188" s="25" t="s">
        <v>74</v>
      </c>
      <c r="B188" s="25" t="s">
        <v>202</v>
      </c>
      <c r="C188" s="25" t="s">
        <v>74</v>
      </c>
    </row>
    <row r="189" spans="1:3" hidden="1" x14ac:dyDescent="0.25">
      <c r="A189" s="25" t="s">
        <v>74</v>
      </c>
      <c r="B189" s="25" t="s">
        <v>203</v>
      </c>
      <c r="C189" s="25" t="s">
        <v>74</v>
      </c>
    </row>
    <row r="190" spans="1:3" hidden="1" x14ac:dyDescent="0.25">
      <c r="A190" s="25" t="s">
        <v>74</v>
      </c>
      <c r="B190" s="25" t="s">
        <v>204</v>
      </c>
      <c r="C190" s="25" t="s">
        <v>74</v>
      </c>
    </row>
    <row r="191" spans="1:3" hidden="1" x14ac:dyDescent="0.25">
      <c r="A191" s="25" t="s">
        <v>74</v>
      </c>
      <c r="B191" s="25" t="s">
        <v>205</v>
      </c>
      <c r="C191" s="25" t="s">
        <v>74</v>
      </c>
    </row>
    <row r="192" spans="1:3" hidden="1" x14ac:dyDescent="0.25">
      <c r="A192" s="25" t="s">
        <v>74</v>
      </c>
      <c r="B192" s="25" t="s">
        <v>206</v>
      </c>
      <c r="C192" s="25" t="s">
        <v>74</v>
      </c>
    </row>
    <row r="193" spans="1:3" hidden="1" x14ac:dyDescent="0.25">
      <c r="A193" s="25" t="s">
        <v>75</v>
      </c>
      <c r="B193" s="25" t="s">
        <v>75</v>
      </c>
      <c r="C193" s="25" t="s">
        <v>75</v>
      </c>
    </row>
    <row r="194" spans="1:3" hidden="1" x14ac:dyDescent="0.25">
      <c r="A194" s="25" t="s">
        <v>75</v>
      </c>
      <c r="B194" s="25" t="s">
        <v>207</v>
      </c>
      <c r="C194" s="25" t="s">
        <v>75</v>
      </c>
    </row>
    <row r="195" spans="1:3" hidden="1" x14ac:dyDescent="0.25">
      <c r="A195" s="25" t="s">
        <v>75</v>
      </c>
      <c r="B195" s="25" t="s">
        <v>208</v>
      </c>
      <c r="C195" s="25" t="s">
        <v>75</v>
      </c>
    </row>
    <row r="196" spans="1:3" hidden="1" x14ac:dyDescent="0.25">
      <c r="A196" s="25" t="s">
        <v>75</v>
      </c>
      <c r="B196" s="25" t="s">
        <v>209</v>
      </c>
      <c r="C196" s="25" t="s">
        <v>75</v>
      </c>
    </row>
    <row r="197" spans="1:3" hidden="1" x14ac:dyDescent="0.25">
      <c r="A197" s="25" t="s">
        <v>75</v>
      </c>
      <c r="B197" s="25" t="s">
        <v>238</v>
      </c>
      <c r="C197" s="25" t="s">
        <v>75</v>
      </c>
    </row>
    <row r="198" spans="1:3" hidden="1" x14ac:dyDescent="0.25">
      <c r="A198" s="25" t="s">
        <v>75</v>
      </c>
      <c r="B198" s="25" t="s">
        <v>210</v>
      </c>
      <c r="C198" s="25" t="s">
        <v>75</v>
      </c>
    </row>
    <row r="199" spans="1:3" hidden="1" x14ac:dyDescent="0.25">
      <c r="A199" s="25" t="s">
        <v>75</v>
      </c>
      <c r="B199" s="25" t="s">
        <v>211</v>
      </c>
      <c r="C199" s="25" t="s">
        <v>75</v>
      </c>
    </row>
    <row r="200" spans="1:3" hidden="1" x14ac:dyDescent="0.25">
      <c r="A200" s="25" t="s">
        <v>76</v>
      </c>
      <c r="B200" s="25" t="s">
        <v>76</v>
      </c>
      <c r="C200" s="25" t="s">
        <v>76</v>
      </c>
    </row>
    <row r="201" spans="1:3" hidden="1" x14ac:dyDescent="0.25">
      <c r="A201" s="25" t="s">
        <v>76</v>
      </c>
      <c r="B201" s="25" t="s">
        <v>212</v>
      </c>
      <c r="C201" s="25" t="s">
        <v>76</v>
      </c>
    </row>
    <row r="202" spans="1:3" hidden="1" x14ac:dyDescent="0.25">
      <c r="A202" s="25" t="s">
        <v>76</v>
      </c>
      <c r="B202" s="25" t="s">
        <v>239</v>
      </c>
      <c r="C202" s="25" t="s">
        <v>76</v>
      </c>
    </row>
    <row r="203" spans="1:3" hidden="1" x14ac:dyDescent="0.25">
      <c r="A203" s="25" t="s">
        <v>76</v>
      </c>
      <c r="B203" s="25" t="s">
        <v>213</v>
      </c>
      <c r="C203" s="25" t="s">
        <v>76</v>
      </c>
    </row>
    <row r="204" spans="1:3" hidden="1" x14ac:dyDescent="0.25">
      <c r="A204" s="25" t="s">
        <v>76</v>
      </c>
      <c r="B204" s="25" t="s">
        <v>214</v>
      </c>
      <c r="C204" s="25" t="s">
        <v>76</v>
      </c>
    </row>
    <row r="205" spans="1:3" hidden="1" x14ac:dyDescent="0.25">
      <c r="A205" s="25" t="s">
        <v>76</v>
      </c>
      <c r="B205" s="25" t="s">
        <v>215</v>
      </c>
      <c r="C205" s="25" t="s">
        <v>76</v>
      </c>
    </row>
    <row r="206" spans="1:3" hidden="1" x14ac:dyDescent="0.25">
      <c r="A206" s="25" t="s">
        <v>77</v>
      </c>
      <c r="B206" s="25" t="s">
        <v>77</v>
      </c>
      <c r="C206" s="25" t="s">
        <v>77</v>
      </c>
    </row>
    <row r="207" spans="1:3" hidden="1" x14ac:dyDescent="0.25">
      <c r="A207" s="25" t="s">
        <v>77</v>
      </c>
      <c r="B207" s="25" t="s">
        <v>216</v>
      </c>
      <c r="C207" s="25" t="s">
        <v>77</v>
      </c>
    </row>
    <row r="208" spans="1:3" hidden="1" x14ac:dyDescent="0.25">
      <c r="A208" s="25" t="s">
        <v>77</v>
      </c>
      <c r="B208" s="25" t="s">
        <v>217</v>
      </c>
      <c r="C208" s="25" t="s">
        <v>77</v>
      </c>
    </row>
    <row r="209" spans="1:3" hidden="1" x14ac:dyDescent="0.25">
      <c r="A209" s="25" t="s">
        <v>77</v>
      </c>
      <c r="B209" s="25" t="s">
        <v>218</v>
      </c>
      <c r="C209" s="25" t="s">
        <v>77</v>
      </c>
    </row>
    <row r="210" spans="1:3" hidden="1" x14ac:dyDescent="0.25">
      <c r="A210" s="25" t="s">
        <v>77</v>
      </c>
      <c r="B210" s="25" t="s">
        <v>219</v>
      </c>
      <c r="C210" s="25" t="s">
        <v>77</v>
      </c>
    </row>
    <row r="211" spans="1:3" hidden="1" x14ac:dyDescent="0.25">
      <c r="A211" s="25" t="s">
        <v>77</v>
      </c>
      <c r="B211" s="25" t="s">
        <v>240</v>
      </c>
      <c r="C211" s="25" t="s">
        <v>77</v>
      </c>
    </row>
    <row r="212" spans="1:3" hidden="1" x14ac:dyDescent="0.25">
      <c r="A212" s="25" t="s">
        <v>78</v>
      </c>
      <c r="B212" s="25" t="s">
        <v>78</v>
      </c>
      <c r="C212" s="25" t="s">
        <v>78</v>
      </c>
    </row>
    <row r="213" spans="1:3" hidden="1" x14ac:dyDescent="0.25">
      <c r="A213" s="25" t="s">
        <v>78</v>
      </c>
      <c r="B213" s="25" t="s">
        <v>220</v>
      </c>
      <c r="C213" s="25" t="s">
        <v>78</v>
      </c>
    </row>
    <row r="214" spans="1:3" hidden="1" x14ac:dyDescent="0.25">
      <c r="A214" s="25" t="s">
        <v>78</v>
      </c>
      <c r="B214" s="25" t="s">
        <v>221</v>
      </c>
      <c r="C214" s="25" t="s">
        <v>78</v>
      </c>
    </row>
    <row r="215" spans="1:3" hidden="1" x14ac:dyDescent="0.25">
      <c r="A215" s="25" t="s">
        <v>78</v>
      </c>
      <c r="B215" s="25" t="s">
        <v>222</v>
      </c>
      <c r="C215" s="25" t="s">
        <v>78</v>
      </c>
    </row>
    <row r="216" spans="1:3" hidden="1" x14ac:dyDescent="0.25">
      <c r="A216" s="25" t="s">
        <v>78</v>
      </c>
      <c r="B216" s="25" t="s">
        <v>223</v>
      </c>
      <c r="C216" s="25" t="s">
        <v>78</v>
      </c>
    </row>
    <row r="217" spans="1:3" hidden="1" x14ac:dyDescent="0.25">
      <c r="A217" s="25" t="s">
        <v>78</v>
      </c>
      <c r="B217" s="25" t="s">
        <v>224</v>
      </c>
      <c r="C217" s="25" t="s">
        <v>78</v>
      </c>
    </row>
    <row r="218" spans="1:3" hidden="1" x14ac:dyDescent="0.25"/>
  </sheetData>
  <sheetProtection algorithmName="SHA-512" hashValue="wqi0VIUY1BIScGlmJixcmLu67opaDlksxW36QxYWoN8ltXqDHawBfa8oL1k/R2AloNc9yWYPqd3T4zg7S9oSjA==" saltValue="VVDGFhDRd6SEhICQbSEwaA==" spinCount="100000" sheet="1" objects="1" scenarios="1"/>
  <mergeCells count="147">
    <mergeCell ref="AE37:AF37"/>
    <mergeCell ref="E27:P27"/>
    <mergeCell ref="Q1:AF1"/>
    <mergeCell ref="Q2:Q3"/>
    <mergeCell ref="M2:N2"/>
    <mergeCell ref="O2:P2"/>
    <mergeCell ref="M4:N4"/>
    <mergeCell ref="O4:P4"/>
    <mergeCell ref="E2:F2"/>
    <mergeCell ref="G2:H2"/>
    <mergeCell ref="I2:J2"/>
    <mergeCell ref="K2:L2"/>
    <mergeCell ref="E3:F3"/>
    <mergeCell ref="E4:F4"/>
    <mergeCell ref="G3:P3"/>
    <mergeCell ref="D19:F19"/>
    <mergeCell ref="D21:F21"/>
    <mergeCell ref="D20:F20"/>
    <mergeCell ref="G30:H30"/>
    <mergeCell ref="I30:J30"/>
    <mergeCell ref="K30:L30"/>
    <mergeCell ref="D24:F24"/>
    <mergeCell ref="G19:P20"/>
    <mergeCell ref="R2:R3"/>
    <mergeCell ref="A2:D2"/>
    <mergeCell ref="A13:P13"/>
    <mergeCell ref="A14:C14"/>
    <mergeCell ref="A16:C16"/>
    <mergeCell ref="M5:N5"/>
    <mergeCell ref="O5:P5"/>
    <mergeCell ref="M6:N6"/>
    <mergeCell ref="O6:P6"/>
    <mergeCell ref="C11:O11"/>
    <mergeCell ref="D16:F16"/>
    <mergeCell ref="E8:F8"/>
    <mergeCell ref="A9:D9"/>
    <mergeCell ref="G8:H8"/>
    <mergeCell ref="G5:H5"/>
    <mergeCell ref="G9:L9"/>
    <mergeCell ref="I6:J6"/>
    <mergeCell ref="K6:L6"/>
    <mergeCell ref="G24:P24"/>
    <mergeCell ref="A6:D6"/>
    <mergeCell ref="A5:D5"/>
    <mergeCell ref="G14:P14"/>
    <mergeCell ref="G15:P15"/>
    <mergeCell ref="M23:P23"/>
    <mergeCell ref="E7:H7"/>
    <mergeCell ref="I7:P7"/>
    <mergeCell ref="A8:D8"/>
    <mergeCell ref="E9:F9"/>
    <mergeCell ref="I5:J5"/>
    <mergeCell ref="K5:L5"/>
    <mergeCell ref="G6:H6"/>
    <mergeCell ref="E6:F6"/>
    <mergeCell ref="E5:F5"/>
    <mergeCell ref="A34:C34"/>
    <mergeCell ref="D34:F34"/>
    <mergeCell ref="G34:L34"/>
    <mergeCell ref="M34:P34"/>
    <mergeCell ref="A31:C31"/>
    <mergeCell ref="A11:B11"/>
    <mergeCell ref="G12:P12"/>
    <mergeCell ref="G17:P17"/>
    <mergeCell ref="G22:L22"/>
    <mergeCell ref="N21:P21"/>
    <mergeCell ref="G21:M21"/>
    <mergeCell ref="G32:L32"/>
    <mergeCell ref="M32:P32"/>
    <mergeCell ref="E30:F30"/>
    <mergeCell ref="M22:P22"/>
    <mergeCell ref="G23:L23"/>
    <mergeCell ref="D31:F31"/>
    <mergeCell ref="G31:L31"/>
    <mergeCell ref="M31:P31"/>
    <mergeCell ref="A30:B30"/>
    <mergeCell ref="C30:D30"/>
    <mergeCell ref="A29:B29"/>
    <mergeCell ref="C29:D29"/>
    <mergeCell ref="E29:F29"/>
    <mergeCell ref="A25:P25"/>
    <mergeCell ref="G28:H28"/>
    <mergeCell ref="I28:J28"/>
    <mergeCell ref="K28:L28"/>
    <mergeCell ref="M28:N28"/>
    <mergeCell ref="O28:P28"/>
    <mergeCell ref="G29:H29"/>
    <mergeCell ref="I29:J29"/>
    <mergeCell ref="K29:L29"/>
    <mergeCell ref="M29:N29"/>
    <mergeCell ref="O29:P29"/>
    <mergeCell ref="A26:B26"/>
    <mergeCell ref="C26:D26"/>
    <mergeCell ref="A27:B27"/>
    <mergeCell ref="C27:D27"/>
    <mergeCell ref="A28:B28"/>
    <mergeCell ref="C28:D28"/>
    <mergeCell ref="E28:F28"/>
    <mergeCell ref="E26:F26"/>
    <mergeCell ref="A23:C23"/>
    <mergeCell ref="D23:F23"/>
    <mergeCell ref="G16:P16"/>
    <mergeCell ref="A1:P1"/>
    <mergeCell ref="I8:J8"/>
    <mergeCell ref="K8:L8"/>
    <mergeCell ref="A3:D3"/>
    <mergeCell ref="A20:C20"/>
    <mergeCell ref="A21:C21"/>
    <mergeCell ref="A22:C22"/>
    <mergeCell ref="D22:F22"/>
    <mergeCell ref="D14:F14"/>
    <mergeCell ref="A18:P18"/>
    <mergeCell ref="A19:C19"/>
    <mergeCell ref="A10:P10"/>
    <mergeCell ref="A17:C17"/>
    <mergeCell ref="D17:F17"/>
    <mergeCell ref="A15:C15"/>
    <mergeCell ref="A7:D7"/>
    <mergeCell ref="M8:N8"/>
    <mergeCell ref="A4:D4"/>
    <mergeCell ref="I4:J4"/>
    <mergeCell ref="K4:L4"/>
    <mergeCell ref="G4:H4"/>
    <mergeCell ref="AD36:AG36"/>
    <mergeCell ref="A24:C24"/>
    <mergeCell ref="A35:B35"/>
    <mergeCell ref="C35:D35"/>
    <mergeCell ref="E35:M35"/>
    <mergeCell ref="N35:P35"/>
    <mergeCell ref="O8:P8"/>
    <mergeCell ref="M9:P9"/>
    <mergeCell ref="G26:H26"/>
    <mergeCell ref="I26:J26"/>
    <mergeCell ref="K26:L26"/>
    <mergeCell ref="M26:N26"/>
    <mergeCell ref="O26:P26"/>
    <mergeCell ref="A32:C32"/>
    <mergeCell ref="D32:F32"/>
    <mergeCell ref="G33:L33"/>
    <mergeCell ref="M33:P33"/>
    <mergeCell ref="M30:N30"/>
    <mergeCell ref="O30:P30"/>
    <mergeCell ref="A33:C33"/>
    <mergeCell ref="D33:F33"/>
    <mergeCell ref="D15:F15"/>
    <mergeCell ref="A12:B12"/>
    <mergeCell ref="C12:F12"/>
  </mergeCells>
  <dataValidations count="5">
    <dataValidation type="list" allowBlank="1" showInputMessage="1" showErrorMessage="1" sqref="M31:P31" xr:uid="{00000000-0002-0000-0300-000000000000}">
      <formula1>$B$61:$B$73</formula1>
    </dataValidation>
    <dataValidation type="list" showInputMessage="1" showErrorMessage="1" sqref="C11" xr:uid="{00000000-0002-0000-0300-000003000000}">
      <formula1>$B$76:$B$217</formula1>
    </dataValidation>
    <dataValidation type="list" allowBlank="1" showInputMessage="1" showErrorMessage="1" sqref="D20" xr:uid="{00000000-0002-0000-0300-000005000000}">
      <formula1>$B$61:$B$74</formula1>
    </dataValidation>
    <dataValidation type="list" allowBlank="1" showInputMessage="1" showErrorMessage="1" sqref="E4:P4" xr:uid="{8814EF49-9B72-4173-82E9-4598F5D4FF37}">
      <formula1>$T$3:$AI$3</formula1>
    </dataValidation>
    <dataValidation type="date" allowBlank="1" showInputMessage="1" showErrorMessage="1" sqref="C26:P26" xr:uid="{4FF58D18-1E8B-4FBA-A2B7-5EFDD2DCD907}">
      <formula1>40575</formula1>
      <formula2>46387</formula2>
    </dataValidation>
  </dataValidations>
  <pageMargins left="0.7" right="0.7" top="0.75" bottom="0.75" header="0.3" footer="0.3"/>
  <pageSetup paperSize="9" scale="81" orientation="portrait" r:id="rId1"/>
  <ignoredErrors>
    <ignoredError sqref="C27" unlockedFormula="1"/>
    <ignoredError sqref="N21"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A1AF-CFC3-48C1-9D12-013D199B0204}">
  <dimension ref="A1:F21"/>
  <sheetViews>
    <sheetView workbookViewId="0">
      <selection activeCell="E13" sqref="E13"/>
    </sheetView>
  </sheetViews>
  <sheetFormatPr defaultRowHeight="15" x14ac:dyDescent="0.25"/>
  <cols>
    <col min="1" max="1" width="8.140625" customWidth="1"/>
    <col min="2" max="3" width="16.5703125" bestFit="1" customWidth="1"/>
    <col min="4" max="5" width="12.28515625" bestFit="1" customWidth="1"/>
    <col min="6" max="6" width="17" bestFit="1" customWidth="1"/>
  </cols>
  <sheetData>
    <row r="1" spans="1:6" ht="15.75" x14ac:dyDescent="0.25">
      <c r="A1" s="72" t="s">
        <v>70</v>
      </c>
      <c r="B1" s="72" t="s">
        <v>71</v>
      </c>
      <c r="C1" s="72" t="s">
        <v>101</v>
      </c>
      <c r="D1" s="72" t="s">
        <v>72</v>
      </c>
      <c r="E1" s="72" t="s">
        <v>73</v>
      </c>
      <c r="F1" s="72" t="s">
        <v>74</v>
      </c>
    </row>
    <row r="2" spans="1:6" ht="15.75" x14ac:dyDescent="0.25">
      <c r="A2" s="73">
        <v>19800</v>
      </c>
      <c r="B2" s="73">
        <v>21050</v>
      </c>
      <c r="C2" s="73">
        <v>23400</v>
      </c>
      <c r="D2" s="73">
        <v>26450</v>
      </c>
      <c r="E2" s="73">
        <v>33900</v>
      </c>
      <c r="F2" s="73">
        <v>40500</v>
      </c>
    </row>
    <row r="3" spans="1:6" x14ac:dyDescent="0.25">
      <c r="A3" s="373" t="s">
        <v>304</v>
      </c>
      <c r="B3" s="373"/>
      <c r="C3" s="373"/>
      <c r="D3" s="373"/>
      <c r="E3" s="373"/>
      <c r="F3" s="74">
        <f>AVERAGE(A2:F2)</f>
        <v>27516.666666666668</v>
      </c>
    </row>
    <row r="4" spans="1:6" x14ac:dyDescent="0.25">
      <c r="A4" s="373" t="s">
        <v>305</v>
      </c>
      <c r="B4" s="373"/>
      <c r="C4" s="373"/>
      <c r="D4" s="373"/>
      <c r="E4" s="373"/>
      <c r="F4" s="74">
        <f>F3*250</f>
        <v>6879166.666666667</v>
      </c>
    </row>
    <row r="5" spans="1:6" x14ac:dyDescent="0.25">
      <c r="A5" s="373" t="s">
        <v>306</v>
      </c>
      <c r="B5" s="373"/>
      <c r="C5" s="373"/>
      <c r="D5" s="373"/>
      <c r="E5" s="373"/>
      <c r="F5" s="74">
        <f>F3*45000</f>
        <v>1238250000</v>
      </c>
    </row>
    <row r="6" spans="1:6" x14ac:dyDescent="0.25">
      <c r="A6" s="75"/>
      <c r="B6" s="75"/>
      <c r="C6" s="75"/>
      <c r="D6" s="75"/>
      <c r="E6" s="75"/>
      <c r="F6" s="75"/>
    </row>
    <row r="7" spans="1:6" ht="29.25" customHeight="1" x14ac:dyDescent="0.25">
      <c r="A7" s="76" t="s">
        <v>309</v>
      </c>
      <c r="B7" s="78" t="s">
        <v>312</v>
      </c>
      <c r="C7" s="79" t="s">
        <v>307</v>
      </c>
      <c r="D7" s="77" t="s">
        <v>308</v>
      </c>
      <c r="E7" s="76" t="s">
        <v>274</v>
      </c>
      <c r="F7" s="76" t="s">
        <v>255</v>
      </c>
    </row>
    <row r="8" spans="1:6" x14ac:dyDescent="0.25">
      <c r="A8" s="80" t="s">
        <v>42</v>
      </c>
      <c r="B8" s="81">
        <f>F5*2</f>
        <v>2476500000</v>
      </c>
      <c r="C8" s="79" t="s">
        <v>310</v>
      </c>
      <c r="D8" s="86">
        <f t="shared" ref="D8:D20" si="0">B8*0.05</f>
        <v>123825000</v>
      </c>
      <c r="E8" s="86">
        <f t="shared" ref="E8:E14" si="1">B8*0.15</f>
        <v>371475000</v>
      </c>
      <c r="F8" s="86">
        <f t="shared" ref="F8:F16" si="2">E8*0.8</f>
        <v>297180000</v>
      </c>
    </row>
    <row r="9" spans="1:6" x14ac:dyDescent="0.25">
      <c r="A9" s="80" t="s">
        <v>43</v>
      </c>
      <c r="B9" s="81">
        <f>F5*7/5</f>
        <v>1733550000</v>
      </c>
      <c r="C9" s="82">
        <f t="shared" ref="C9:C14" si="3">B9</f>
        <v>1733550000</v>
      </c>
      <c r="D9" s="86">
        <f t="shared" si="0"/>
        <v>86677500</v>
      </c>
      <c r="E9" s="86">
        <f t="shared" si="1"/>
        <v>260032500</v>
      </c>
      <c r="F9" s="86">
        <f t="shared" si="2"/>
        <v>208026000</v>
      </c>
    </row>
    <row r="10" spans="1:6" x14ac:dyDescent="0.25">
      <c r="A10" s="80" t="s">
        <v>44</v>
      </c>
      <c r="B10" s="81">
        <f>F5*6/5</f>
        <v>1485900000</v>
      </c>
      <c r="C10" s="82">
        <f t="shared" si="3"/>
        <v>1485900000</v>
      </c>
      <c r="D10" s="86">
        <f t="shared" si="0"/>
        <v>74295000</v>
      </c>
      <c r="E10" s="86">
        <f t="shared" si="1"/>
        <v>222885000</v>
      </c>
      <c r="F10" s="86">
        <f t="shared" si="2"/>
        <v>178308000</v>
      </c>
    </row>
    <row r="11" spans="1:6" x14ac:dyDescent="0.25">
      <c r="A11" s="80" t="s">
        <v>47</v>
      </c>
      <c r="B11" s="81">
        <f>F5</f>
        <v>1238250000</v>
      </c>
      <c r="C11" s="82">
        <f t="shared" si="3"/>
        <v>1238250000</v>
      </c>
      <c r="D11" s="86">
        <f t="shared" si="0"/>
        <v>61912500</v>
      </c>
      <c r="E11" s="86">
        <f t="shared" si="1"/>
        <v>185737500</v>
      </c>
      <c r="F11" s="86">
        <f t="shared" si="2"/>
        <v>148590000</v>
      </c>
    </row>
    <row r="12" spans="1:6" x14ac:dyDescent="0.25">
      <c r="A12" s="80" t="s">
        <v>48</v>
      </c>
      <c r="B12" s="81">
        <f>F5*5/6</f>
        <v>1031875000</v>
      </c>
      <c r="C12" s="82">
        <f t="shared" si="3"/>
        <v>1031875000</v>
      </c>
      <c r="D12" s="86">
        <f t="shared" si="0"/>
        <v>51593750</v>
      </c>
      <c r="E12" s="86">
        <f t="shared" si="1"/>
        <v>154781250</v>
      </c>
      <c r="F12" s="86">
        <f t="shared" si="2"/>
        <v>123825000</v>
      </c>
    </row>
    <row r="13" spans="1:6" x14ac:dyDescent="0.25">
      <c r="A13" s="80" t="s">
        <v>49</v>
      </c>
      <c r="B13" s="81">
        <f>F5*2/3</f>
        <v>825500000</v>
      </c>
      <c r="C13" s="82">
        <f t="shared" si="3"/>
        <v>825500000</v>
      </c>
      <c r="D13" s="86">
        <f t="shared" si="0"/>
        <v>41275000</v>
      </c>
      <c r="E13" s="86">
        <f t="shared" si="1"/>
        <v>123825000</v>
      </c>
      <c r="F13" s="86">
        <f t="shared" si="2"/>
        <v>99060000</v>
      </c>
    </row>
    <row r="14" spans="1:6" x14ac:dyDescent="0.25">
      <c r="A14" s="80" t="s">
        <v>33</v>
      </c>
      <c r="B14" s="81">
        <f>F5/2</f>
        <v>619125000</v>
      </c>
      <c r="C14" s="82">
        <f t="shared" si="3"/>
        <v>619125000</v>
      </c>
      <c r="D14" s="86">
        <f t="shared" si="0"/>
        <v>30956250</v>
      </c>
      <c r="E14" s="86">
        <f t="shared" si="1"/>
        <v>92868750</v>
      </c>
      <c r="F14" s="86">
        <f t="shared" si="2"/>
        <v>74295000</v>
      </c>
    </row>
    <row r="15" spans="1:6" x14ac:dyDescent="0.25">
      <c r="A15" s="80" t="s">
        <v>1</v>
      </c>
      <c r="B15" s="81">
        <f>F5/3</f>
        <v>412750000</v>
      </c>
      <c r="C15" s="82">
        <f>B15*1.15</f>
        <v>474662499.99999994</v>
      </c>
      <c r="D15" s="86">
        <f t="shared" si="0"/>
        <v>20637500</v>
      </c>
      <c r="E15" s="86">
        <f>B15*0.1</f>
        <v>41275000</v>
      </c>
      <c r="F15" s="86">
        <f t="shared" si="2"/>
        <v>33020000</v>
      </c>
    </row>
    <row r="16" spans="1:6" x14ac:dyDescent="0.25">
      <c r="A16" s="80" t="s">
        <v>3</v>
      </c>
      <c r="B16" s="81">
        <f>F5/5</f>
        <v>247650000</v>
      </c>
      <c r="C16" s="82">
        <f>B16*4/3</f>
        <v>330200000</v>
      </c>
      <c r="D16" s="86">
        <f t="shared" si="0"/>
        <v>12382500</v>
      </c>
      <c r="E16" s="86">
        <f>B16*0.1</f>
        <v>24765000</v>
      </c>
      <c r="F16" s="86">
        <f t="shared" si="2"/>
        <v>19812000</v>
      </c>
    </row>
    <row r="17" spans="1:6" x14ac:dyDescent="0.25">
      <c r="A17" s="80" t="s">
        <v>6</v>
      </c>
      <c r="B17" s="81">
        <f>F5/10</f>
        <v>123825000</v>
      </c>
      <c r="C17" s="82">
        <f>B17*2</f>
        <v>247650000</v>
      </c>
      <c r="D17" s="86">
        <f t="shared" si="0"/>
        <v>6191250</v>
      </c>
      <c r="E17" s="87" t="s">
        <v>311</v>
      </c>
      <c r="F17" s="87" t="s">
        <v>311</v>
      </c>
    </row>
    <row r="18" spans="1:6" x14ac:dyDescent="0.25">
      <c r="A18" s="80" t="s">
        <v>5</v>
      </c>
      <c r="B18" s="81">
        <f>F5*17/200</f>
        <v>105251250</v>
      </c>
      <c r="C18" s="82">
        <f>B18*1.75</f>
        <v>184189687.5</v>
      </c>
      <c r="D18" s="86">
        <f t="shared" si="0"/>
        <v>5262562.5</v>
      </c>
      <c r="E18" s="87" t="s">
        <v>311</v>
      </c>
      <c r="F18" s="87" t="s">
        <v>311</v>
      </c>
    </row>
    <row r="19" spans="1:6" x14ac:dyDescent="0.25">
      <c r="A19" s="80" t="s">
        <v>9</v>
      </c>
      <c r="B19" s="81">
        <f>F5*7/100</f>
        <v>86677500</v>
      </c>
      <c r="C19" s="82">
        <f>B19*1.5</f>
        <v>130016250</v>
      </c>
      <c r="D19" s="86">
        <f t="shared" si="0"/>
        <v>4333875</v>
      </c>
      <c r="E19" s="87" t="s">
        <v>311</v>
      </c>
      <c r="F19" s="87" t="s">
        <v>311</v>
      </c>
    </row>
    <row r="20" spans="1:6" x14ac:dyDescent="0.25">
      <c r="A20" s="80" t="s">
        <v>10</v>
      </c>
      <c r="B20" s="81">
        <f>F5/20</f>
        <v>61912500</v>
      </c>
      <c r="C20" s="82">
        <f>B20*1.5</f>
        <v>92868750</v>
      </c>
      <c r="D20" s="86">
        <f t="shared" si="0"/>
        <v>3095625</v>
      </c>
      <c r="E20" s="87" t="s">
        <v>311</v>
      </c>
      <c r="F20" s="87" t="s">
        <v>311</v>
      </c>
    </row>
    <row r="21" spans="1:6" x14ac:dyDescent="0.25">
      <c r="A21" s="80" t="s">
        <v>245</v>
      </c>
      <c r="B21" s="83" t="s">
        <v>311</v>
      </c>
      <c r="C21" s="82">
        <f>B20*5/7</f>
        <v>44223214.285714284</v>
      </c>
      <c r="D21" s="85" t="s">
        <v>311</v>
      </c>
      <c r="E21" s="84" t="s">
        <v>311</v>
      </c>
      <c r="F21" s="84" t="s">
        <v>311</v>
      </c>
    </row>
  </sheetData>
  <sheetProtection algorithmName="SHA-512" hashValue="8QKxFx5Q5qgYDT6mvXrv22rL8IonNkmi92ULxFQvHbHW0VvwZudSrlANk4M4in96KjqiFg0MGJ+Yp5OozB4+aw==" saltValue="vEXnMyGyYVMAv3gdPUhVxA==" spinCount="100000" sheet="1" objects="1" scenarios="1"/>
  <mergeCells count="3">
    <mergeCell ref="A5:E5"/>
    <mergeCell ref="A3:E3"/>
    <mergeCell ref="A4:E4"/>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6</vt:i4>
      </vt:variant>
    </vt:vector>
  </HeadingPairs>
  <TitlesOfParts>
    <vt:vector size="6" baseType="lpstr">
      <vt:lpstr>Ortaklık</vt:lpstr>
      <vt:lpstr>Diploma</vt:lpstr>
      <vt:lpstr>Bilanço</vt:lpstr>
      <vt:lpstr>Ciro</vt:lpstr>
      <vt:lpstr>İş Deneyim</vt:lpstr>
      <vt:lpstr>Yeterlikler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Dizüstü</dc:creator>
  <cp:lastModifiedBy>Dogukan Aras</cp:lastModifiedBy>
  <cp:lastPrinted>2025-05-20T06:54:08Z</cp:lastPrinted>
  <dcterms:created xsi:type="dcterms:W3CDTF">2024-09-03T10:37:05Z</dcterms:created>
  <dcterms:modified xsi:type="dcterms:W3CDTF">2026-02-18T11:07:06Z</dcterms:modified>
</cp:coreProperties>
</file>