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rkehan.ulker\Desktop\"/>
    </mc:Choice>
  </mc:AlternateContent>
  <xr:revisionPtr revIDLastSave="0" documentId="13_ncr:1_{07F385A9-E23E-47FE-8F32-385149C5C4F4}" xr6:coauthVersionLast="47" xr6:coauthVersionMax="47" xr10:uidLastSave="{00000000-0000-0000-0000-000000000000}"/>
  <bookViews>
    <workbookView xWindow="-120" yWindow="-120" windowWidth="28110" windowHeight="16440" xr2:uid="{00000000-000D-0000-FFFF-FFFF00000000}"/>
  </bookViews>
  <sheets>
    <sheet name="Not" sheetId="5" r:id="rId1"/>
    <sheet name="BİNA" sheetId="3" r:id="rId2"/>
    <sheet name="YERLEŞME" sheetId="4" r:id="rId3"/>
    <sheet name="bina puanlar" sheetId="2" state="hidden" r:id="rId4"/>
    <sheet name="yerleşme puanlar" sheetId="1" state="hidden"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 l="1"/>
  <c r="C97" i="3"/>
  <c r="C99" i="3"/>
  <c r="E88" i="3"/>
  <c r="F89" i="3"/>
  <c r="E89" i="3"/>
  <c r="E74" i="3"/>
  <c r="F75" i="3"/>
  <c r="E75" i="3"/>
  <c r="E66" i="3"/>
  <c r="F67" i="3"/>
  <c r="E67" i="3"/>
  <c r="E51" i="3"/>
  <c r="F52" i="3"/>
  <c r="E52" i="3"/>
  <c r="E32" i="3"/>
  <c r="F33" i="3"/>
  <c r="E33" i="3"/>
  <c r="C98" i="3"/>
  <c r="S100" i="3"/>
  <c r="S88" i="3"/>
  <c r="S74" i="3"/>
  <c r="S66" i="3"/>
  <c r="S51" i="3"/>
  <c r="S32" i="3"/>
  <c r="S99" i="3"/>
  <c r="P106" i="3"/>
  <c r="R100" i="3"/>
  <c r="R88" i="3"/>
  <c r="R74" i="3"/>
  <c r="R66" i="3"/>
  <c r="R51" i="3"/>
  <c r="R32" i="3"/>
  <c r="R99" i="3"/>
  <c r="P105" i="3"/>
  <c r="Q100" i="3"/>
  <c r="Q88" i="3"/>
  <c r="Q74" i="3"/>
  <c r="Q66" i="3"/>
  <c r="Q51" i="3"/>
  <c r="Q32" i="3"/>
  <c r="Q99" i="3"/>
  <c r="P104" i="3"/>
  <c r="P100" i="3"/>
  <c r="P88" i="3"/>
  <c r="P74" i="3"/>
  <c r="P66" i="3"/>
  <c r="P51" i="3"/>
  <c r="P32" i="3"/>
  <c r="P99" i="3"/>
  <c r="P103" i="3"/>
  <c r="F72" i="3"/>
  <c r="F69" i="3"/>
  <c r="F70" i="3"/>
  <c r="F71" i="3"/>
  <c r="F73" i="3"/>
  <c r="F74" i="3"/>
  <c r="N86" i="4"/>
  <c r="M86" i="4"/>
  <c r="L86" i="4"/>
  <c r="K86" i="4"/>
  <c r="N72" i="4"/>
  <c r="M72" i="4"/>
  <c r="L72" i="4"/>
  <c r="N49" i="4"/>
  <c r="M49" i="4"/>
  <c r="L49" i="4"/>
  <c r="K49" i="4"/>
  <c r="K8" i="4"/>
  <c r="K25" i="4"/>
  <c r="K95" i="4"/>
  <c r="D7" i="4"/>
  <c r="E2" i="4"/>
  <c r="E3" i="4"/>
  <c r="E4" i="4"/>
  <c r="E5" i="4"/>
  <c r="E6" i="4"/>
  <c r="E7" i="4"/>
  <c r="E8" i="4"/>
  <c r="D8" i="4"/>
  <c r="D24" i="4"/>
  <c r="E10" i="4"/>
  <c r="E11" i="4"/>
  <c r="E12" i="4"/>
  <c r="E13" i="4"/>
  <c r="E14" i="4"/>
  <c r="E15" i="4"/>
  <c r="E16" i="4"/>
  <c r="E17" i="4"/>
  <c r="E18" i="4"/>
  <c r="E19" i="4"/>
  <c r="E20" i="4"/>
  <c r="E21" i="4"/>
  <c r="E22" i="4"/>
  <c r="E23" i="4"/>
  <c r="E24" i="4"/>
  <c r="E25" i="4"/>
  <c r="D25" i="4"/>
  <c r="D48" i="4"/>
  <c r="E27" i="4"/>
  <c r="E28" i="4"/>
  <c r="E29" i="4"/>
  <c r="E30" i="4"/>
  <c r="E31" i="4"/>
  <c r="E32" i="4"/>
  <c r="E33" i="4"/>
  <c r="E34" i="4"/>
  <c r="E35" i="4"/>
  <c r="E36" i="4"/>
  <c r="E37" i="4"/>
  <c r="E38" i="4"/>
  <c r="E39" i="4"/>
  <c r="E40" i="4"/>
  <c r="E41" i="4"/>
  <c r="E42" i="4"/>
  <c r="E43" i="4"/>
  <c r="E44" i="4"/>
  <c r="E45" i="4"/>
  <c r="E46" i="4"/>
  <c r="E47" i="4"/>
  <c r="E48" i="4"/>
  <c r="E49" i="4"/>
  <c r="D49" i="4"/>
  <c r="D71" i="4"/>
  <c r="E51" i="4"/>
  <c r="E52" i="4"/>
  <c r="E53" i="4"/>
  <c r="E54" i="4"/>
  <c r="E55" i="4"/>
  <c r="E56" i="4"/>
  <c r="E57" i="4"/>
  <c r="E58" i="4"/>
  <c r="E59" i="4"/>
  <c r="E60" i="4"/>
  <c r="E61" i="4"/>
  <c r="E62" i="4"/>
  <c r="E63" i="4"/>
  <c r="E64" i="4"/>
  <c r="E65" i="4"/>
  <c r="E66" i="4"/>
  <c r="E67" i="4"/>
  <c r="E68" i="4"/>
  <c r="E69" i="4"/>
  <c r="E70" i="4"/>
  <c r="E71" i="4"/>
  <c r="E72" i="4"/>
  <c r="D72" i="4"/>
  <c r="D85" i="4"/>
  <c r="E74" i="4"/>
  <c r="E75" i="4"/>
  <c r="E76" i="4"/>
  <c r="E77" i="4"/>
  <c r="E78" i="4"/>
  <c r="E79" i="4"/>
  <c r="E80" i="4"/>
  <c r="E81" i="4"/>
  <c r="E82" i="4"/>
  <c r="E83" i="4"/>
  <c r="E84" i="4"/>
  <c r="E85" i="4"/>
  <c r="E86" i="4"/>
  <c r="D86" i="4"/>
  <c r="C95" i="4"/>
  <c r="K96" i="4"/>
  <c r="L8" i="4"/>
  <c r="L25" i="4"/>
  <c r="L95" i="4"/>
  <c r="M8" i="4"/>
  <c r="M25" i="4"/>
  <c r="M95" i="4"/>
  <c r="N8" i="4"/>
  <c r="N25" i="4"/>
  <c r="N95" i="4"/>
  <c r="N96" i="4"/>
  <c r="K102" i="4"/>
  <c r="M96" i="4"/>
  <c r="K101" i="4"/>
  <c r="L96" i="4"/>
  <c r="K100" i="4"/>
  <c r="K99" i="4"/>
  <c r="E89" i="4"/>
  <c r="E90" i="4"/>
  <c r="E88" i="4"/>
  <c r="C96" i="4"/>
  <c r="D91" i="4"/>
  <c r="E91" i="4"/>
  <c r="E92" i="4"/>
  <c r="D92" i="4"/>
  <c r="E94" i="3"/>
  <c r="F95" i="3"/>
  <c r="E95" i="3"/>
  <c r="F31" i="3"/>
  <c r="F91" i="3"/>
  <c r="F92" i="3"/>
  <c r="F93" i="3"/>
  <c r="F94" i="3"/>
  <c r="F87" i="3"/>
  <c r="F86" i="3"/>
  <c r="F85" i="3"/>
  <c r="F84" i="3"/>
  <c r="F83" i="3"/>
  <c r="F82" i="3"/>
  <c r="F81" i="3"/>
  <c r="F80" i="3"/>
  <c r="F79" i="3"/>
  <c r="F78" i="3"/>
  <c r="F77" i="3"/>
  <c r="F88" i="3"/>
  <c r="F54" i="3"/>
  <c r="F55" i="3"/>
  <c r="F56" i="3"/>
  <c r="F57" i="3"/>
  <c r="F58" i="3"/>
  <c r="F59" i="3"/>
  <c r="F60" i="3"/>
  <c r="F61" i="3"/>
  <c r="F62" i="3"/>
  <c r="F63" i="3"/>
  <c r="F64" i="3"/>
  <c r="F65" i="3"/>
  <c r="F66" i="3"/>
  <c r="F35" i="3"/>
  <c r="F36" i="3"/>
  <c r="F37" i="3"/>
  <c r="F38" i="3"/>
  <c r="F39" i="3"/>
  <c r="F40" i="3"/>
  <c r="F41" i="3"/>
  <c r="F42" i="3"/>
  <c r="F43" i="3"/>
  <c r="F44" i="3"/>
  <c r="F45" i="3"/>
  <c r="F46" i="3"/>
  <c r="F47" i="3"/>
  <c r="F48" i="3"/>
  <c r="F49" i="3"/>
  <c r="F50" i="3"/>
  <c r="F51" i="3"/>
  <c r="F30" i="3"/>
  <c r="F29" i="3"/>
  <c r="F28" i="3"/>
  <c r="F27" i="3"/>
  <c r="F26" i="3"/>
  <c r="F25" i="3"/>
  <c r="F24" i="3"/>
  <c r="F23" i="3"/>
  <c r="F22" i="3"/>
  <c r="F21" i="3"/>
  <c r="F20" i="3"/>
  <c r="F19" i="3"/>
  <c r="F18" i="3"/>
  <c r="F17" i="3"/>
  <c r="F16" i="3"/>
  <c r="F15" i="3"/>
  <c r="F14" i="3"/>
  <c r="F13" i="3"/>
  <c r="F12" i="3"/>
  <c r="F11" i="3"/>
  <c r="F9" i="3"/>
  <c r="F8" i="3"/>
  <c r="F7" i="3"/>
  <c r="F6" i="3"/>
  <c r="F5" i="3"/>
  <c r="F4" i="3"/>
  <c r="F3" i="3"/>
  <c r="F2" i="3"/>
  <c r="F32" i="3"/>
  <c r="L79" i="2"/>
  <c r="E79" i="2"/>
  <c r="M79" i="2"/>
  <c r="F79" i="2"/>
  <c r="N79" i="2"/>
  <c r="G79" i="2"/>
  <c r="O79" i="2"/>
  <c r="H79" i="2"/>
  <c r="P79" i="2"/>
  <c r="I79" i="2"/>
  <c r="Q79" i="2"/>
  <c r="J79" i="2"/>
  <c r="R79" i="2"/>
  <c r="D79" i="2"/>
  <c r="L70" i="2"/>
  <c r="L71" i="2"/>
  <c r="E70" i="2"/>
  <c r="E71" i="2"/>
  <c r="M70" i="2"/>
  <c r="M71" i="2"/>
  <c r="F70" i="2"/>
  <c r="F71" i="2"/>
  <c r="N70" i="2"/>
  <c r="N71" i="2"/>
  <c r="G70" i="2"/>
  <c r="G71" i="2"/>
  <c r="O70" i="2"/>
  <c r="O71" i="2"/>
  <c r="H70" i="2"/>
  <c r="H71" i="2"/>
  <c r="P70" i="2"/>
  <c r="P71" i="2"/>
  <c r="I70" i="2"/>
  <c r="I71" i="2"/>
  <c r="Q70" i="2"/>
  <c r="Q71" i="2"/>
  <c r="J70" i="2"/>
  <c r="J71" i="2"/>
  <c r="R70" i="2"/>
  <c r="R71" i="2"/>
  <c r="D70" i="2"/>
  <c r="D71" i="2"/>
  <c r="L54" i="2"/>
  <c r="L55" i="2"/>
  <c r="E54" i="2"/>
  <c r="E55" i="2"/>
  <c r="M54" i="2"/>
  <c r="M55" i="2"/>
  <c r="F54" i="2"/>
  <c r="F55" i="2"/>
  <c r="N54" i="2"/>
  <c r="N55" i="2"/>
  <c r="G54" i="2"/>
  <c r="G55" i="2"/>
  <c r="O54" i="2"/>
  <c r="O55" i="2"/>
  <c r="H54" i="2"/>
  <c r="H55" i="2"/>
  <c r="P54" i="2"/>
  <c r="P55" i="2"/>
  <c r="I54" i="2"/>
  <c r="I55" i="2"/>
  <c r="Q54" i="2"/>
  <c r="Q55" i="2"/>
  <c r="J54" i="2"/>
  <c r="J55" i="2"/>
  <c r="R54" i="2"/>
  <c r="R55" i="2"/>
  <c r="D54" i="2"/>
  <c r="D55" i="2"/>
  <c r="E80" i="2"/>
  <c r="L80" i="2"/>
  <c r="L34" i="2"/>
  <c r="L35" i="2"/>
  <c r="L94" i="2"/>
  <c r="L95" i="2"/>
  <c r="L104" i="2"/>
  <c r="E34" i="2"/>
  <c r="E35" i="2"/>
  <c r="E94" i="2"/>
  <c r="E95" i="2"/>
  <c r="E104" i="2"/>
  <c r="M80" i="2"/>
  <c r="M34" i="2"/>
  <c r="M35" i="2"/>
  <c r="M94" i="2"/>
  <c r="M95" i="2"/>
  <c r="M104" i="2"/>
  <c r="F80" i="2"/>
  <c r="F34" i="2"/>
  <c r="F35" i="2"/>
  <c r="F94" i="2"/>
  <c r="F95" i="2"/>
  <c r="F104" i="2"/>
  <c r="N80" i="2"/>
  <c r="N34" i="2"/>
  <c r="N35" i="2"/>
  <c r="N94" i="2"/>
  <c r="N95" i="2"/>
  <c r="N104" i="2"/>
  <c r="G80" i="2"/>
  <c r="G34" i="2"/>
  <c r="G35" i="2"/>
  <c r="G94" i="2"/>
  <c r="G95" i="2"/>
  <c r="G104" i="2"/>
  <c r="O80" i="2"/>
  <c r="O34" i="2"/>
  <c r="O35" i="2"/>
  <c r="O94" i="2"/>
  <c r="O95" i="2"/>
  <c r="O104" i="2"/>
  <c r="H80" i="2"/>
  <c r="H34" i="2"/>
  <c r="H35" i="2"/>
  <c r="H94" i="2"/>
  <c r="H95" i="2"/>
  <c r="H104" i="2"/>
  <c r="P80" i="2"/>
  <c r="P34" i="2"/>
  <c r="P35" i="2"/>
  <c r="P94" i="2"/>
  <c r="P95" i="2"/>
  <c r="P104" i="2"/>
  <c r="I80" i="2"/>
  <c r="I34" i="2"/>
  <c r="I35" i="2"/>
  <c r="I94" i="2"/>
  <c r="I95" i="2"/>
  <c r="I104" i="2"/>
  <c r="Q80" i="2"/>
  <c r="Q34" i="2"/>
  <c r="Q35" i="2"/>
  <c r="Q94" i="2"/>
  <c r="Q95" i="2"/>
  <c r="Q104" i="2"/>
  <c r="J80" i="2"/>
  <c r="J34" i="2"/>
  <c r="J35" i="2"/>
  <c r="J94" i="2"/>
  <c r="J95" i="2"/>
  <c r="J104" i="2"/>
  <c r="R80" i="2"/>
  <c r="R34" i="2"/>
  <c r="R35" i="2"/>
  <c r="R94" i="2"/>
  <c r="R95" i="2"/>
  <c r="R104" i="2"/>
  <c r="D34" i="2"/>
  <c r="D35" i="2"/>
  <c r="D80" i="2"/>
  <c r="D94" i="2"/>
  <c r="D95" i="2"/>
  <c r="D104" i="2"/>
  <c r="E7" i="1"/>
  <c r="E8" i="1"/>
  <c r="E24" i="1"/>
  <c r="E25" i="1"/>
  <c r="E48" i="1"/>
  <c r="E49" i="1"/>
  <c r="E71" i="1"/>
  <c r="E72" i="1"/>
  <c r="E85" i="1"/>
  <c r="E86" i="1"/>
  <c r="E94" i="1"/>
  <c r="D7" i="1"/>
  <c r="D8" i="1"/>
  <c r="D24" i="1"/>
  <c r="D25" i="1"/>
  <c r="D48" i="1"/>
  <c r="D49" i="1"/>
  <c r="D71" i="1"/>
  <c r="D72" i="1"/>
  <c r="D85" i="1"/>
  <c r="D86" i="1"/>
  <c r="D94" i="1"/>
  <c r="L101" i="2"/>
  <c r="E101" i="2"/>
  <c r="M101" i="2"/>
  <c r="F101" i="2"/>
  <c r="N101" i="2"/>
  <c r="G101" i="2"/>
  <c r="O101" i="2"/>
  <c r="H101" i="2"/>
  <c r="P101" i="2"/>
  <c r="I101" i="2"/>
  <c r="Q101" i="2"/>
  <c r="J101" i="2"/>
  <c r="R101" i="2"/>
  <c r="L102" i="2"/>
  <c r="E102" i="2"/>
  <c r="M102" i="2"/>
  <c r="F102" i="2"/>
  <c r="N102" i="2"/>
  <c r="G102" i="2"/>
  <c r="O102" i="2"/>
  <c r="H102" i="2"/>
  <c r="P102" i="2"/>
  <c r="I102" i="2"/>
  <c r="Q102" i="2"/>
  <c r="J102" i="2"/>
  <c r="R102" i="2"/>
  <c r="D101" i="2"/>
  <c r="D102" i="2"/>
  <c r="E91" i="1"/>
  <c r="E92" i="1"/>
  <c r="D91" i="1"/>
  <c r="D92" i="1"/>
</calcChain>
</file>

<file path=xl/sharedStrings.xml><?xml version="1.0" encoding="utf-8"?>
<sst xmlns="http://schemas.openxmlformats.org/spreadsheetml/2006/main" count="876" uniqueCount="252">
  <si>
    <t>BBT</t>
  </si>
  <si>
    <t>BBT 01 Proje Planlama</t>
  </si>
  <si>
    <r>
      <rPr>
        <b/>
        <sz val="12"/>
        <color theme="1"/>
        <rFont val="Calibri"/>
        <family val="2"/>
        <charset val="162"/>
        <scheme val="minor"/>
      </rPr>
      <t>BBT 01 K1</t>
    </r>
    <r>
      <rPr>
        <sz val="12"/>
        <color theme="1"/>
        <rFont val="Calibri"/>
        <family val="2"/>
        <charset val="162"/>
        <scheme val="minor"/>
      </rPr>
      <t xml:space="preserve"> İlgili disiplinleri içeren proje ekibinin oluşturulması</t>
    </r>
  </si>
  <si>
    <t>Z</t>
  </si>
  <si>
    <r>
      <rPr>
        <b/>
        <sz val="12"/>
        <color theme="1"/>
        <rFont val="Calibri"/>
        <family val="2"/>
        <charset val="162"/>
        <scheme val="minor"/>
      </rPr>
      <t>BBT 01 K2</t>
    </r>
    <r>
      <rPr>
        <sz val="12"/>
        <color theme="1"/>
        <rFont val="Calibri"/>
        <family val="2"/>
        <charset val="162"/>
        <scheme val="minor"/>
      </rPr>
      <t xml:space="preserve"> Yeşil Sertifika Uzmanı’nın sürece dahil edilmesi</t>
    </r>
  </si>
  <si>
    <r>
      <rPr>
        <b/>
        <sz val="12"/>
        <color theme="1"/>
        <rFont val="Calibri"/>
        <family val="2"/>
        <charset val="162"/>
        <scheme val="minor"/>
      </rPr>
      <t>BBT 01 K3</t>
    </r>
    <r>
      <rPr>
        <sz val="12"/>
        <color theme="1"/>
        <rFont val="Calibri"/>
        <family val="2"/>
        <charset val="162"/>
        <scheme val="minor"/>
      </rPr>
      <t xml:space="preserve"> Ayrıntılı proje kapsamının belirlenmesi</t>
    </r>
  </si>
  <si>
    <r>
      <rPr>
        <b/>
        <sz val="12"/>
        <color theme="1"/>
        <rFont val="Calibri"/>
        <family val="2"/>
        <charset val="162"/>
        <scheme val="minor"/>
      </rPr>
      <t>BBT 01 K4</t>
    </r>
    <r>
      <rPr>
        <sz val="12"/>
        <color theme="1"/>
        <rFont val="Calibri"/>
        <family val="2"/>
        <charset val="162"/>
        <scheme val="minor"/>
      </rPr>
      <t xml:space="preserve"> Sürdürülebilir arazi ve ulaşım bağlantılarının seçimi</t>
    </r>
  </si>
  <si>
    <t>BBT 02 Bütünleşik Tasarım</t>
  </si>
  <si>
    <r>
      <rPr>
        <b/>
        <sz val="12"/>
        <color theme="1"/>
        <rFont val="Calibri"/>
        <family val="2"/>
        <charset val="162"/>
        <scheme val="minor"/>
      </rPr>
      <t>BBT 02 K1</t>
    </r>
    <r>
      <rPr>
        <sz val="12"/>
        <color theme="1"/>
        <rFont val="Calibri"/>
        <family val="2"/>
        <charset val="162"/>
        <scheme val="minor"/>
      </rPr>
      <t xml:space="preserve"> Disiplinler arası paydaş katılımı</t>
    </r>
  </si>
  <si>
    <r>
      <rPr>
        <b/>
        <sz val="12"/>
        <color theme="1"/>
        <rFont val="Calibri"/>
        <family val="2"/>
        <charset val="162"/>
        <scheme val="minor"/>
      </rPr>
      <t>BBT 02 K2</t>
    </r>
    <r>
      <rPr>
        <sz val="12"/>
        <color theme="1"/>
        <rFont val="Calibri"/>
        <family val="2"/>
        <charset val="162"/>
        <scheme val="minor"/>
      </rPr>
      <t xml:space="preserve"> Enerjiye ilişkin ön araştırma / analiz yapılması ve olası stratejilerin değerlendirilmesi</t>
    </r>
  </si>
  <si>
    <r>
      <rPr>
        <b/>
        <sz val="12"/>
        <color theme="1"/>
        <rFont val="Calibri"/>
        <family val="2"/>
        <charset val="162"/>
        <scheme val="minor"/>
      </rPr>
      <t>BBT 02 K3</t>
    </r>
    <r>
      <rPr>
        <sz val="12"/>
        <color theme="1"/>
        <rFont val="Calibri"/>
        <family val="2"/>
        <charset val="162"/>
        <scheme val="minor"/>
      </rPr>
      <t xml:space="preserve"> Suya ilişkin ön araştırma / analiz yapılması ve olası stratejilerin değerlendirilmesi </t>
    </r>
  </si>
  <si>
    <r>
      <rPr>
        <b/>
        <sz val="12"/>
        <color theme="1"/>
        <rFont val="Calibri"/>
        <family val="2"/>
        <charset val="162"/>
        <scheme val="minor"/>
      </rPr>
      <t>BBT 02 K4</t>
    </r>
    <r>
      <rPr>
        <sz val="12"/>
        <color theme="1"/>
        <rFont val="Calibri"/>
        <family val="2"/>
        <charset val="162"/>
        <scheme val="minor"/>
      </rPr>
      <t xml:space="preserve"> Görsel konfor </t>
    </r>
  </si>
  <si>
    <r>
      <rPr>
        <b/>
        <sz val="12"/>
        <color theme="1"/>
        <rFont val="Calibri"/>
        <family val="2"/>
        <charset val="162"/>
        <scheme val="minor"/>
      </rPr>
      <t>BBT 02 K5</t>
    </r>
    <r>
      <rPr>
        <sz val="12"/>
        <color theme="1"/>
        <rFont val="Calibri"/>
        <family val="2"/>
        <charset val="162"/>
        <scheme val="minor"/>
      </rPr>
      <t xml:space="preserve"> İşitsel konfor </t>
    </r>
  </si>
  <si>
    <r>
      <rPr>
        <b/>
        <sz val="12"/>
        <color theme="1"/>
        <rFont val="Calibri"/>
        <family val="2"/>
        <charset val="162"/>
        <scheme val="minor"/>
      </rPr>
      <t>BBT 02 K6</t>
    </r>
    <r>
      <rPr>
        <sz val="12"/>
        <color theme="1"/>
        <rFont val="Calibri"/>
        <family val="2"/>
        <charset val="162"/>
        <scheme val="minor"/>
      </rPr>
      <t xml:space="preserve"> Binanın etrafına yaydığı gürültünün kontrol altına alınması</t>
    </r>
  </si>
  <si>
    <r>
      <rPr>
        <b/>
        <sz val="12"/>
        <color theme="1"/>
        <rFont val="Calibri"/>
        <family val="2"/>
        <charset val="162"/>
        <scheme val="minor"/>
      </rPr>
      <t>BBT 02 K7</t>
    </r>
    <r>
      <rPr>
        <sz val="12"/>
        <color theme="1"/>
        <rFont val="Calibri"/>
        <family val="2"/>
        <charset val="162"/>
        <scheme val="minor"/>
      </rPr>
      <t xml:space="preserve"> Isıl konfor</t>
    </r>
  </si>
  <si>
    <r>
      <rPr>
        <b/>
        <sz val="12"/>
        <color theme="1"/>
        <rFont val="Calibri"/>
        <family val="2"/>
        <charset val="162"/>
        <scheme val="minor"/>
      </rPr>
      <t>BBT 02 K8</t>
    </r>
    <r>
      <rPr>
        <sz val="12"/>
        <color theme="1"/>
        <rFont val="Calibri"/>
        <family val="2"/>
        <charset val="162"/>
        <scheme val="minor"/>
      </rPr>
      <t xml:space="preserve"> Hava kalitesi</t>
    </r>
  </si>
  <si>
    <r>
      <rPr>
        <b/>
        <sz val="12"/>
        <color theme="1"/>
        <rFont val="Calibri"/>
        <family val="2"/>
        <charset val="162"/>
        <scheme val="minor"/>
      </rPr>
      <t>BBT 02 K9</t>
    </r>
    <r>
      <rPr>
        <sz val="12"/>
        <color theme="1"/>
        <rFont val="Calibri"/>
        <family val="2"/>
        <charset val="162"/>
        <scheme val="minor"/>
      </rPr>
      <t xml:space="preserve"> Bina acil durum planının hazırlanması ve güncelliğinin sağlanması</t>
    </r>
  </si>
  <si>
    <r>
      <rPr>
        <b/>
        <sz val="12"/>
        <color theme="1"/>
        <rFont val="Calibri"/>
        <family val="2"/>
        <charset val="162"/>
        <scheme val="minor"/>
      </rPr>
      <t>BBT 02 K10</t>
    </r>
    <r>
      <rPr>
        <sz val="12"/>
        <color theme="1"/>
        <rFont val="Calibri"/>
        <family val="2"/>
        <charset val="162"/>
        <scheme val="minor"/>
      </rPr>
      <t xml:space="preserve"> Tasarımda yangın emniyetinin artırılması</t>
    </r>
  </si>
  <si>
    <r>
      <rPr>
        <b/>
        <sz val="12"/>
        <color theme="1"/>
        <rFont val="Calibri"/>
        <family val="2"/>
        <charset val="162"/>
        <scheme val="minor"/>
      </rPr>
      <t>BBT 02 K11</t>
    </r>
    <r>
      <rPr>
        <sz val="12"/>
        <color theme="1"/>
        <rFont val="Calibri"/>
        <family val="2"/>
        <charset val="162"/>
        <scheme val="minor"/>
      </rPr>
      <t xml:space="preserve"> Yaşam döngüsü değerlendirmelerinin yapılması</t>
    </r>
  </si>
  <si>
    <r>
      <rPr>
        <b/>
        <sz val="12"/>
        <color theme="1"/>
        <rFont val="Calibri"/>
        <family val="2"/>
        <charset val="162"/>
        <scheme val="minor"/>
      </rPr>
      <t xml:space="preserve">BBT 02 K12 </t>
    </r>
    <r>
      <rPr>
        <sz val="12"/>
        <color theme="1"/>
        <rFont val="Calibri"/>
        <family val="2"/>
        <charset val="162"/>
        <scheme val="minor"/>
      </rPr>
      <t>İşletme ömrü planlamasının yapılması</t>
    </r>
  </si>
  <si>
    <r>
      <rPr>
        <b/>
        <sz val="12"/>
        <color theme="1"/>
        <rFont val="Calibri"/>
        <family val="2"/>
        <charset val="162"/>
        <scheme val="minor"/>
      </rPr>
      <t>BBT 02 K13</t>
    </r>
    <r>
      <rPr>
        <sz val="12"/>
        <color theme="1"/>
        <rFont val="Calibri"/>
        <family val="2"/>
        <charset val="162"/>
        <scheme val="minor"/>
      </rPr>
      <t xml:space="preserve"> Yaşam kalitesini yükselten mühendislik ve tasarım çözümleri</t>
    </r>
  </si>
  <si>
    <r>
      <rPr>
        <b/>
        <sz val="12"/>
        <color theme="1"/>
        <rFont val="Calibri"/>
        <family val="2"/>
        <charset val="162"/>
        <scheme val="minor"/>
      </rPr>
      <t xml:space="preserve">BBT 02 K14 </t>
    </r>
    <r>
      <rPr>
        <sz val="12"/>
        <color theme="1"/>
        <rFont val="Calibri"/>
        <family val="2"/>
        <charset val="162"/>
        <scheme val="minor"/>
      </rPr>
      <t>İzleme &amp; değerlendirme sisteminin geliştirilmiş olması</t>
    </r>
  </si>
  <si>
    <t>BBT 03 Yapım İle İlgili Dokümanların Hazırlanması</t>
  </si>
  <si>
    <t>BBT 04 Yapım</t>
  </si>
  <si>
    <r>
      <t>BBT 04 K1</t>
    </r>
    <r>
      <rPr>
        <sz val="12"/>
        <color theme="1"/>
        <rFont val="Calibri"/>
        <family val="2"/>
        <charset val="162"/>
        <scheme val="minor"/>
      </rPr>
      <t xml:space="preserve"> Güvenli ve yeterli erişimin sağlanması </t>
    </r>
  </si>
  <si>
    <r>
      <t>BBT 04 K3</t>
    </r>
    <r>
      <rPr>
        <sz val="12"/>
        <color theme="1"/>
        <rFont val="Calibri"/>
        <family val="2"/>
        <charset val="162"/>
        <scheme val="minor"/>
      </rPr>
      <t xml:space="preserve"> İşçi sağlığı ve iş güvenliğinin sağlanması</t>
    </r>
  </si>
  <si>
    <r>
      <t>BBT 04 K5</t>
    </r>
    <r>
      <rPr>
        <sz val="12"/>
        <color theme="1"/>
        <rFont val="Calibri"/>
        <family val="2"/>
        <charset val="162"/>
        <scheme val="minor"/>
      </rPr>
      <t xml:space="preserve"> Atıkların çevreye zarar vermeden yönetiminin sağlanması </t>
    </r>
  </si>
  <si>
    <t>BBT 05 Kontrol, İşletmeye Alma ve Kabul</t>
  </si>
  <si>
    <r>
      <rPr>
        <b/>
        <sz val="12"/>
        <color theme="1"/>
        <rFont val="Calibri"/>
        <family val="2"/>
        <charset val="162"/>
        <scheme val="minor"/>
      </rPr>
      <t>BBT 05 K1</t>
    </r>
    <r>
      <rPr>
        <sz val="12"/>
        <color theme="1"/>
        <rFont val="Calibri"/>
        <family val="2"/>
        <charset val="162"/>
        <scheme val="minor"/>
      </rPr>
      <t xml:space="preserve"> Sistemlerin bütünleşik çalışmasına yönelik işletmeye alma süreçlerinin tanımlanması ve yönetecek ekibin belirlenmesi</t>
    </r>
  </si>
  <si>
    <r>
      <rPr>
        <b/>
        <sz val="12"/>
        <color theme="1"/>
        <rFont val="Calibri"/>
        <family val="2"/>
        <charset val="162"/>
        <scheme val="minor"/>
      </rPr>
      <t>BBT 05 K2</t>
    </r>
    <r>
      <rPr>
        <sz val="12"/>
        <color theme="1"/>
        <rFont val="Calibri"/>
        <family val="2"/>
        <charset val="162"/>
        <scheme val="minor"/>
      </rPr>
      <t xml:space="preserve"> İşletmeye alma programının hazırlanması</t>
    </r>
  </si>
  <si>
    <t>BBT 06 İşletme, Bakım, Ölçüm ve Tesis Yönetimi</t>
  </si>
  <si>
    <r>
      <t>BBT 06 K1</t>
    </r>
    <r>
      <rPr>
        <sz val="12"/>
        <color theme="1"/>
        <rFont val="Calibri"/>
        <family val="2"/>
        <charset val="162"/>
        <scheme val="minor"/>
      </rPr>
      <t xml:space="preserve"> Bina bakım ve yenileme işlemlerinin tanımlanması</t>
    </r>
  </si>
  <si>
    <r>
      <t>BBT 06 K2</t>
    </r>
    <r>
      <rPr>
        <sz val="12"/>
        <color theme="1"/>
        <rFont val="Calibri"/>
        <family val="2"/>
        <charset val="162"/>
        <scheme val="minor"/>
      </rPr>
      <t xml:space="preserve"> Bina yönetici ve kullanıcılarına gerekli işletim bakım ve yenileme bilgisinin aktarılması</t>
    </r>
  </si>
  <si>
    <r>
      <t>BBT 06 K3</t>
    </r>
    <r>
      <rPr>
        <sz val="12"/>
        <color theme="1"/>
        <rFont val="Calibri"/>
        <family val="2"/>
        <charset val="162"/>
        <scheme val="minor"/>
      </rPr>
      <t xml:space="preserve"> Kullanıcı profili ve davranışlarına göre yapı sistemlerinde optimum işletmenin sağlanması</t>
    </r>
  </si>
  <si>
    <t>Kredi
Ağırlıklı kredi</t>
  </si>
  <si>
    <t>İOK</t>
  </si>
  <si>
    <t>İOK 01 Görsel Konfor</t>
  </si>
  <si>
    <r>
      <t>İOK 01 K4</t>
    </r>
    <r>
      <rPr>
        <sz val="12"/>
        <color theme="1"/>
        <rFont val="Calibri"/>
        <family val="2"/>
        <charset val="162"/>
        <scheme val="minor"/>
      </rPr>
      <t xml:space="preserve"> Yapma aydınlatma sistemlerinin gerekli renksel geriverim indeksi (Ra) değerini sağlaması</t>
    </r>
  </si>
  <si>
    <r>
      <t>İOK 01 K5</t>
    </r>
    <r>
      <rPr>
        <sz val="12"/>
        <color theme="1"/>
        <rFont val="Calibri"/>
        <family val="2"/>
        <charset val="162"/>
        <scheme val="minor"/>
      </rPr>
      <t xml:space="preserve"> Yeterli günışığı performansının sağlanması</t>
    </r>
  </si>
  <si>
    <r>
      <t xml:space="preserve">İOK 01 K6 </t>
    </r>
    <r>
      <rPr>
        <sz val="12"/>
        <color theme="1"/>
        <rFont val="Calibri"/>
        <family val="2"/>
        <charset val="162"/>
        <scheme val="minor"/>
      </rPr>
      <t>Yeterli dış görüşün sağlanması</t>
    </r>
  </si>
  <si>
    <r>
      <t xml:space="preserve">İOK 01 K7 </t>
    </r>
    <r>
      <rPr>
        <sz val="12"/>
        <color theme="1"/>
        <rFont val="Calibri"/>
        <family val="2"/>
        <charset val="162"/>
        <scheme val="minor"/>
      </rPr>
      <t>Güneş kontrolünün sağlanması</t>
    </r>
  </si>
  <si>
    <t>İOK 02 İşitsel Konfor</t>
  </si>
  <si>
    <r>
      <t>İOK 02 K1</t>
    </r>
    <r>
      <rPr>
        <sz val="12"/>
        <color theme="1"/>
        <rFont val="Calibri"/>
        <family val="2"/>
        <charset val="162"/>
        <scheme val="minor"/>
      </rPr>
      <t xml:space="preserve"> Çevresel gürültü ve komşuluk gürültüsünün iç ortam gürültü sınır değerlerini aşmaması. </t>
    </r>
  </si>
  <si>
    <r>
      <t>İOK 02 K2</t>
    </r>
    <r>
      <rPr>
        <sz val="12"/>
        <color theme="1"/>
        <rFont val="Calibri"/>
        <family val="2"/>
        <charset val="162"/>
        <scheme val="minor"/>
      </rPr>
      <t xml:space="preserve"> Mekanik sistem gürültüsünün iç ortam gürültü sınır değerlerini aşmaması. </t>
    </r>
  </si>
  <si>
    <r>
      <t>İOK 02 K3</t>
    </r>
    <r>
      <rPr>
        <sz val="12"/>
        <color theme="1"/>
        <rFont val="Calibri"/>
        <family val="2"/>
        <charset val="162"/>
        <scheme val="minor"/>
      </rPr>
      <t xml:space="preserve"> Çınlama süresinin sınır değerlerini aşmaması. </t>
    </r>
  </si>
  <si>
    <r>
      <t>İOK 02 K4</t>
    </r>
    <r>
      <rPr>
        <sz val="12"/>
        <color theme="1"/>
        <rFont val="Calibri"/>
        <family val="2"/>
        <charset val="162"/>
        <scheme val="minor"/>
      </rPr>
      <t xml:space="preserve"> Dış yapı elemanlarında hava doğuşlu ses yalıtımının en az C sınıfını karşılaması. </t>
    </r>
  </si>
  <si>
    <r>
      <t>İOK 02 K5</t>
    </r>
    <r>
      <rPr>
        <sz val="12"/>
        <color theme="1"/>
        <rFont val="Calibri"/>
        <family val="2"/>
        <charset val="162"/>
        <scheme val="minor"/>
      </rPr>
      <t xml:space="preserve"> İç bölme duvarlarda hava doğuşlu ses yalıtımının en az C sınıfını karşılaması. </t>
    </r>
  </si>
  <si>
    <r>
      <t>İOK 02 K6</t>
    </r>
    <r>
      <rPr>
        <sz val="12"/>
        <color theme="1"/>
        <rFont val="Calibri"/>
        <family val="2"/>
        <charset val="162"/>
        <scheme val="minor"/>
      </rPr>
      <t xml:space="preserve"> Döşemelerde hava doğuşlu ses yalıtımının en az C sınıfını karşılaması. </t>
    </r>
  </si>
  <si>
    <r>
      <t>İOK 02 K7</t>
    </r>
    <r>
      <rPr>
        <sz val="12"/>
        <color theme="1"/>
        <rFont val="Calibri"/>
        <family val="2"/>
        <charset val="162"/>
        <scheme val="minor"/>
      </rPr>
      <t xml:space="preserve"> Döşemelerde darbe kaynaklı ses yalıtımının en az C sınıfını karşılaması. </t>
    </r>
  </si>
  <si>
    <t>İOK 03 Isıl Konfor</t>
  </si>
  <si>
    <r>
      <t>İOK 03 K1</t>
    </r>
    <r>
      <rPr>
        <sz val="12"/>
        <color theme="1"/>
        <rFont val="Calibri"/>
        <family val="2"/>
        <charset val="162"/>
        <scheme val="minor"/>
      </rPr>
      <t xml:space="preserve"> Isıl Memnuniyetsizlik Yüzdesini (PPD indisi) ve Ortalama Isıl Duyu Göstergesinin (PMV indisinin) standartlara uygun olması</t>
    </r>
  </si>
  <si>
    <t>İOK 04 Hava Kalitesi</t>
  </si>
  <si>
    <r>
      <rPr>
        <b/>
        <sz val="12"/>
        <color theme="1"/>
        <rFont val="Calibri"/>
        <family val="2"/>
        <charset val="162"/>
        <scheme val="minor"/>
      </rPr>
      <t>İOK 04 K1</t>
    </r>
    <r>
      <rPr>
        <sz val="12"/>
        <color theme="1"/>
        <rFont val="Calibri"/>
        <family val="2"/>
        <charset val="162"/>
        <scheme val="minor"/>
      </rPr>
      <t xml:space="preserve"> Doğal veya mekanik havalandırma yöntemlerinde iç mekan konforunu sağlayacak taze hava girişinin sağlanması</t>
    </r>
  </si>
  <si>
    <t>YMD</t>
  </si>
  <si>
    <t>YMD 01 Yapı Malzemesi Yaşam Döngüsü Değerlendirmesi (YDD) ve Çevre Ürün Bildirimi</t>
  </si>
  <si>
    <t>YMD 02 Sağlıklı Ürün Beyanı (SÜB)</t>
  </si>
  <si>
    <r>
      <t xml:space="preserve">YMD 02 K1 </t>
    </r>
    <r>
      <rPr>
        <sz val="12"/>
        <color theme="1"/>
        <rFont val="Calibri"/>
        <family val="2"/>
        <charset val="162"/>
        <scheme val="minor"/>
      </rPr>
      <t>Malzeme Uçucu Organik Bileşik (UOB) salım seviyesi</t>
    </r>
  </si>
  <si>
    <t>YMD 03 Radyasyon kontrolü</t>
  </si>
  <si>
    <t>YMD 04 Sorumlu Kaynak Kullanımı</t>
  </si>
  <si>
    <r>
      <t xml:space="preserve">YMD 04 K1 </t>
    </r>
    <r>
      <rPr>
        <sz val="12"/>
        <color theme="1"/>
        <rFont val="Calibri"/>
        <family val="2"/>
        <charset val="162"/>
        <scheme val="minor"/>
      </rPr>
      <t>Sorumlu kaynak kullanımı</t>
    </r>
  </si>
  <si>
    <t>YMD 05 Yerel Kaynak Kullanımı</t>
  </si>
  <si>
    <r>
      <t>YMD 05 K1</t>
    </r>
    <r>
      <rPr>
        <sz val="12"/>
        <color theme="1"/>
        <rFont val="Calibri"/>
        <family val="2"/>
        <charset val="162"/>
        <scheme val="minor"/>
      </rPr>
      <t xml:space="preserve"> Yerel kaynak kullanımı</t>
    </r>
  </si>
  <si>
    <t>YMD 06 Yeniden Kullanılan, İyileştirilen ya da Geri Dönüştürülen Malzeme Kullanımı</t>
  </si>
  <si>
    <r>
      <t>YMD 06 K2</t>
    </r>
    <r>
      <rPr>
        <sz val="12"/>
        <color theme="1"/>
        <rFont val="Calibri"/>
        <family val="2"/>
        <charset val="162"/>
        <scheme val="minor"/>
      </rPr>
      <t xml:space="preserve"> Sökülebilir, takılabilir, bitmiş ön yapımlı ürünlerin kullanılması</t>
    </r>
  </si>
  <si>
    <r>
      <t>YMD 06 K3</t>
    </r>
    <r>
      <rPr>
        <sz val="12"/>
        <color theme="1"/>
        <rFont val="Calibri"/>
        <family val="2"/>
        <charset val="162"/>
        <scheme val="minor"/>
      </rPr>
      <t xml:space="preserve"> Geri dönüşüm içeriğine sahip ürünlerin kullanılması</t>
    </r>
  </si>
  <si>
    <r>
      <t xml:space="preserve">YMD 06 K4 </t>
    </r>
    <r>
      <rPr>
        <sz val="12"/>
        <color theme="1"/>
        <rFont val="Calibri"/>
        <family val="2"/>
        <charset val="162"/>
        <scheme val="minor"/>
      </rPr>
      <t>Bina ömrünü tamamladıktan sonra malzemenin binadan ayrılma sürecinin planlanması</t>
    </r>
  </si>
  <si>
    <t>YMD 07 Dayanıklı Malzeme Kullanımı</t>
  </si>
  <si>
    <r>
      <t>YMD 07 K1</t>
    </r>
    <r>
      <rPr>
        <sz val="12"/>
        <color theme="1"/>
        <rFont val="Calibri"/>
        <family val="2"/>
        <charset val="162"/>
        <scheme val="minor"/>
      </rPr>
      <t xml:space="preserve"> Bakım onarım sıklığı</t>
    </r>
  </si>
  <si>
    <r>
      <t>YMD 07 K2</t>
    </r>
    <r>
      <rPr>
        <sz val="12"/>
        <color theme="1"/>
        <rFont val="Calibri"/>
        <family val="2"/>
        <charset val="162"/>
        <scheme val="minor"/>
      </rPr>
      <t xml:space="preserve"> Dayanıklı mimarı tasarım</t>
    </r>
  </si>
  <si>
    <t>EKV</t>
  </si>
  <si>
    <t>EKV 01 Bina enerji performansı</t>
  </si>
  <si>
    <t>EKV 02 Yenilenebilir Enerji Teknolojileri</t>
  </si>
  <si>
    <r>
      <t xml:space="preserve">EKV 02 K1 </t>
    </r>
    <r>
      <rPr>
        <sz val="12"/>
        <color theme="1"/>
        <rFont val="Calibri"/>
        <family val="2"/>
        <charset val="162"/>
        <scheme val="minor"/>
      </rPr>
      <t>Yenilenebilir enerji sistemlerine ait çalışma yapılması</t>
    </r>
  </si>
  <si>
    <r>
      <t>EKV 02 K2 Yenilenebilir Enerji Kullanımı</t>
    </r>
    <r>
      <rPr>
        <sz val="12"/>
        <color theme="1"/>
        <rFont val="Calibri"/>
        <family val="2"/>
        <charset val="162"/>
        <scheme val="minor"/>
      </rPr>
      <t xml:space="preserve"> (SEÇENEK-1 Yenilenebilir enerji teknolojilerinin kurulumu ve kullanımı)</t>
    </r>
  </si>
  <si>
    <r>
      <t>EKV 02 K2 Yenilenebilir Enerji Kullanımı</t>
    </r>
    <r>
      <rPr>
        <sz val="12"/>
        <color theme="1"/>
        <rFont val="Calibri"/>
        <family val="2"/>
        <charset val="162"/>
        <scheme val="minor"/>
      </rPr>
      <t xml:space="preserve"> (SEÇENEK-2 Saha dışından yenilenebilir enerji satın alınması) </t>
    </r>
  </si>
  <si>
    <t>SAY</t>
  </si>
  <si>
    <t>SAY 01 Su Yönetimi</t>
  </si>
  <si>
    <r>
      <t>SAY 01 K1</t>
    </r>
    <r>
      <rPr>
        <sz val="12"/>
        <color theme="1"/>
        <rFont val="Calibri"/>
        <family val="2"/>
        <charset val="162"/>
        <scheme val="minor"/>
      </rPr>
      <t xml:space="preserve"> Suyun verimli ve etkin kullanımı için uygun armatür ve donatıların seçilmesi (referans binaya göre iyileştirme oranı)</t>
    </r>
  </si>
  <si>
    <r>
      <t>SAY 01 K2</t>
    </r>
    <r>
      <rPr>
        <sz val="12"/>
        <color theme="1"/>
        <rFont val="Calibri"/>
        <family val="2"/>
        <charset val="162"/>
        <scheme val="minor"/>
      </rPr>
      <t xml:space="preserve"> Su dağıtımında kayıp ve kaçakların önlemesi/gerekli tedbirlerin alınması</t>
    </r>
  </si>
  <si>
    <r>
      <t>SAY 01 K3</t>
    </r>
    <r>
      <rPr>
        <sz val="12"/>
        <color theme="1"/>
        <rFont val="Calibri"/>
        <family val="2"/>
        <charset val="162"/>
        <scheme val="minor"/>
      </rPr>
      <t xml:space="preserve"> Su kullanımının sayaçlar ile izlenmesi ve kayıt altına alınması</t>
    </r>
  </si>
  <si>
    <r>
      <t>SAY 01 K4</t>
    </r>
    <r>
      <rPr>
        <sz val="12"/>
        <color theme="1"/>
        <rFont val="Calibri"/>
        <family val="2"/>
        <charset val="162"/>
        <scheme val="minor"/>
      </rPr>
      <t xml:space="preserve"> Su Kalitesinin kontrolü</t>
    </r>
  </si>
  <si>
    <r>
      <t>SAY 01 K5</t>
    </r>
    <r>
      <rPr>
        <sz val="12"/>
        <color theme="1"/>
        <rFont val="Calibri"/>
        <family val="2"/>
        <charset val="162"/>
        <scheme val="minor"/>
      </rPr>
      <t xml:space="preserve"> Yağmur suyu toplama, arıtma ve kullanımı</t>
    </r>
  </si>
  <si>
    <r>
      <t>SAY 01 K6</t>
    </r>
    <r>
      <rPr>
        <sz val="12"/>
        <color theme="1"/>
        <rFont val="Calibri"/>
        <family val="2"/>
        <charset val="162"/>
        <scheme val="minor"/>
      </rPr>
      <t xml:space="preserve"> Atık suyun geri kullanımı (gri su)</t>
    </r>
  </si>
  <si>
    <t>SAY 02 Atık Yönetimi</t>
  </si>
  <si>
    <r>
      <t xml:space="preserve">SAY 02 K1 </t>
    </r>
    <r>
      <rPr>
        <sz val="12"/>
        <color theme="1"/>
        <rFont val="Calibri"/>
        <family val="2"/>
        <charset val="162"/>
        <scheme val="minor"/>
      </rPr>
      <t>Atık yönetim planının hazırlanması</t>
    </r>
  </si>
  <si>
    <r>
      <t xml:space="preserve">SAY 02 K2 </t>
    </r>
    <r>
      <rPr>
        <sz val="12"/>
        <color theme="1"/>
        <rFont val="Calibri"/>
        <family val="2"/>
        <charset val="162"/>
        <scheme val="minor"/>
      </rPr>
      <t>Atıkların yerinde ayrıştırılması, uygun yer ve hacimlerde toplanması</t>
    </r>
  </si>
  <si>
    <r>
      <t xml:space="preserve">SAY 02 K3 </t>
    </r>
    <r>
      <rPr>
        <sz val="12"/>
        <color theme="1"/>
        <rFont val="Calibri"/>
        <family val="2"/>
        <charset val="162"/>
        <scheme val="minor"/>
      </rPr>
      <t>Ayrıştırılan atıkların geri kullanımının teşviki ve sağlanması ile uzaklaştırılacak atık hacminin azaltılması</t>
    </r>
  </si>
  <si>
    <r>
      <t xml:space="preserve">SAY 02 K4 </t>
    </r>
    <r>
      <rPr>
        <sz val="12"/>
        <color theme="1"/>
        <rFont val="Calibri"/>
        <family val="2"/>
        <charset val="162"/>
        <scheme val="minor"/>
      </rPr>
      <t xml:space="preserve">Biyo-bozunur atıkların kompostlaştırılması ile geri kazanılması/kazandırılması, enerji kazanımı </t>
    </r>
  </si>
  <si>
    <r>
      <t xml:space="preserve">SAY 02 K5 </t>
    </r>
    <r>
      <rPr>
        <sz val="12"/>
        <color theme="1"/>
        <rFont val="Calibri"/>
        <family val="2"/>
        <charset val="162"/>
        <scheme val="minor"/>
      </rPr>
      <t>Yıkıntı atıklarının ayrı biriktirilmesi ve geri kullanımının planlanması</t>
    </r>
  </si>
  <si>
    <t>İNO</t>
  </si>
  <si>
    <t>İNO 01 Yaşam Kalitesini Yükselten Mühendislik Ve Tasarım Çözümleri</t>
  </si>
  <si>
    <r>
      <t xml:space="preserve">İNO 01 K1 </t>
    </r>
    <r>
      <rPr>
        <sz val="12"/>
        <color theme="1"/>
        <rFont val="Calibri"/>
        <family val="2"/>
        <charset val="162"/>
        <scheme val="minor"/>
      </rPr>
      <t>İnovasyon - Mevcut sertifika gereklilikleri içinde bulunmayan ancak yeşil bina belgelendirmesinde inovatif değeri olan uygulamaların sağlanmış olması</t>
    </r>
  </si>
  <si>
    <r>
      <t xml:space="preserve">İNO 01 K2 </t>
    </r>
    <r>
      <rPr>
        <sz val="12"/>
        <color theme="1"/>
        <rFont val="Calibri"/>
        <family val="2"/>
        <charset val="162"/>
        <scheme val="minor"/>
      </rPr>
      <t>İyileştirme - Geliştirilecek yenilikçi uygulamalar ile bina kullanıcılarının yaşam kalitesini artırıcı iyileştirmeler sağlanması</t>
    </r>
  </si>
  <si>
    <t>İNO 02 İzleme &amp; Değerlendirme Sisteminin Geliştirilmiş Olması</t>
  </si>
  <si>
    <r>
      <rPr>
        <b/>
        <sz val="12"/>
        <color theme="1"/>
        <rFont val="Calibri"/>
        <family val="2"/>
        <charset val="162"/>
        <scheme val="minor"/>
      </rPr>
      <t>İNO 02 K1</t>
    </r>
    <r>
      <rPr>
        <sz val="12"/>
        <color theme="1"/>
        <rFont val="Calibri"/>
        <family val="2"/>
        <charset val="162"/>
        <scheme val="minor"/>
      </rPr>
      <t xml:space="preserve"> İzleme - Projenin su, ısı ve enerji sürdürülebilirliğini izleme, ölçme ve değerlendirme ile ilgili inovatif çözümleri içeriyor olması</t>
    </r>
  </si>
  <si>
    <t>BOL 01 Alansal, Yerel ve Bölgesel Profiller</t>
  </si>
  <si>
    <t>BOL</t>
  </si>
  <si>
    <r>
      <rPr>
        <b/>
        <sz val="12"/>
        <color theme="1"/>
        <rFont val="Calibri"/>
        <family val="2"/>
        <charset val="162"/>
        <scheme val="minor"/>
      </rPr>
      <t>BOL 01 K2</t>
    </r>
    <r>
      <rPr>
        <sz val="12"/>
        <color theme="1"/>
        <rFont val="Calibri"/>
        <family val="2"/>
        <charset val="162"/>
        <scheme val="minor"/>
      </rPr>
      <t xml:space="preserve"> Proje Alanının Bölge ve Yakın Çevresi İçinde Değerlendirilmesi</t>
    </r>
  </si>
  <si>
    <r>
      <rPr>
        <b/>
        <sz val="12"/>
        <color theme="1"/>
        <rFont val="Calibri"/>
        <family val="2"/>
        <charset val="162"/>
        <scheme val="minor"/>
      </rPr>
      <t>BOL 01 K3</t>
    </r>
    <r>
      <rPr>
        <sz val="12"/>
        <color theme="1"/>
        <rFont val="Calibri"/>
        <family val="2"/>
        <charset val="162"/>
        <scheme val="minor"/>
      </rPr>
      <t xml:space="preserve"> Proje Alanının Planlama Kademelenmesi İçindeki Yerinin Değerlendirilmesi</t>
    </r>
  </si>
  <si>
    <t>BOL 02 Proje Verileri</t>
  </si>
  <si>
    <r>
      <rPr>
        <b/>
        <sz val="12"/>
        <color theme="1"/>
        <rFont val="Calibri"/>
        <family val="2"/>
        <charset val="162"/>
        <scheme val="minor"/>
      </rPr>
      <t>BOL 02 K1</t>
    </r>
    <r>
      <rPr>
        <sz val="12"/>
        <color theme="1"/>
        <rFont val="Calibri"/>
        <family val="2"/>
        <charset val="162"/>
        <scheme val="minor"/>
      </rPr>
      <t xml:space="preserve"> Proje Sürdürülebilir Geliştirme Raporu</t>
    </r>
  </si>
  <si>
    <r>
      <rPr>
        <b/>
        <sz val="12"/>
        <color theme="1"/>
        <rFont val="Calibri"/>
        <family val="2"/>
        <charset val="162"/>
        <scheme val="minor"/>
      </rPr>
      <t>BOL 02 K2</t>
    </r>
    <r>
      <rPr>
        <sz val="12"/>
        <color theme="1"/>
        <rFont val="Calibri"/>
        <family val="2"/>
        <charset val="162"/>
        <scheme val="minor"/>
      </rPr>
      <t xml:space="preserve"> Proje Katılım ve İletişim Planı</t>
    </r>
  </si>
  <si>
    <t xml:space="preserve">AKE 01 Planlama ve
Ekolojik Değer Varlığı 
</t>
  </si>
  <si>
    <r>
      <t>AKE 01 K2</t>
    </r>
    <r>
      <rPr>
        <sz val="12"/>
        <color theme="1"/>
        <rFont val="Calibri"/>
        <family val="2"/>
        <charset val="162"/>
        <scheme val="minor"/>
      </rPr>
      <t xml:space="preserve"> Proje Alanında ‘Ekolojik Değer Varlığı Envanteri’ Raporunun hazırlanmış olması</t>
    </r>
  </si>
  <si>
    <r>
      <t>AKE 01 K3</t>
    </r>
    <r>
      <rPr>
        <sz val="12"/>
        <color theme="1"/>
        <rFont val="Calibri"/>
        <family val="2"/>
        <charset val="162"/>
        <scheme val="minor"/>
      </rPr>
      <t xml:space="preserve"> Proje Alanında ‘Biyoçeşitliliği Koruma ve Geliştirme Raporu’nun hazırlanmış olması</t>
    </r>
  </si>
  <si>
    <r>
      <t>AKE 02 K4</t>
    </r>
    <r>
      <rPr>
        <sz val="12"/>
        <color theme="1"/>
        <rFont val="Calibri"/>
        <family val="2"/>
        <charset val="162"/>
        <scheme val="minor"/>
      </rPr>
      <t xml:space="preserve"> Güneşlenme Durumuna Göre Yerleşilebilir Alan Tercih Edilmesi</t>
    </r>
  </si>
  <si>
    <t>AKE 03 Sürdürülebilir Kentsel Gelişme ve Arazi Kullanım</t>
  </si>
  <si>
    <t>AKE 02 Sürdürülebilir Yer Seçimi ve Enerji Etkin Planlama</t>
  </si>
  <si>
    <r>
      <t>AKE 03 K1</t>
    </r>
    <r>
      <rPr>
        <sz val="12"/>
        <color theme="1"/>
        <rFont val="Calibri"/>
        <family val="2"/>
        <charset val="162"/>
        <scheme val="minor"/>
      </rPr>
      <t xml:space="preserve"> Proje alanı seçimi</t>
    </r>
  </si>
  <si>
    <r>
      <t>AKE 03 K2</t>
    </r>
    <r>
      <rPr>
        <sz val="12"/>
        <color theme="1"/>
        <rFont val="Calibri"/>
        <family val="2"/>
        <charset val="162"/>
        <scheme val="minor"/>
      </rPr>
      <t xml:space="preserve"> Açık ve yeşil alan oranında artış sağlanması</t>
    </r>
  </si>
  <si>
    <t>AKE 04 Afetlere Dayanıklılık</t>
  </si>
  <si>
    <r>
      <t>AKE 04 K1</t>
    </r>
    <r>
      <rPr>
        <sz val="12"/>
        <color theme="1"/>
        <rFont val="Calibri"/>
        <family val="2"/>
        <charset val="162"/>
        <scheme val="minor"/>
      </rPr>
      <t xml:space="preserve"> Afet Risk Raporu ve Yerleşim Afet Yönetim Planı Oluşturulması</t>
    </r>
  </si>
  <si>
    <r>
      <t>AKE 04 K2</t>
    </r>
    <r>
      <rPr>
        <sz val="12"/>
        <color theme="1"/>
        <rFont val="Calibri"/>
        <family val="2"/>
        <charset val="162"/>
        <scheme val="minor"/>
      </rPr>
      <t xml:space="preserve"> Proje Alanının Afet Yönetim Planı Kapsamında Afet Anında Toplanma Alanı ve Gerekli Donatılarının Belirlenmesi</t>
    </r>
  </si>
  <si>
    <t>AKE 05 Çevre Yönetimi ve Altyapı Planlama</t>
  </si>
  <si>
    <r>
      <t>AKE 05 K1</t>
    </r>
    <r>
      <rPr>
        <sz val="12"/>
        <color theme="1"/>
        <rFont val="Calibri"/>
        <family val="2"/>
        <charset val="162"/>
        <scheme val="minor"/>
      </rPr>
      <t xml:space="preserve"> Yağmur Suyu Toplama Sistemi Kullanılması</t>
    </r>
  </si>
  <si>
    <r>
      <t>AKE 05 K2</t>
    </r>
    <r>
      <rPr>
        <sz val="12"/>
        <color theme="1"/>
        <rFont val="Calibri"/>
        <family val="2"/>
        <charset val="162"/>
        <scheme val="minor"/>
      </rPr>
      <t xml:space="preserve"> Atık Su Yönetimi ve Arıtılmış Atık Suyun Yeniden Kullanımı</t>
    </r>
  </si>
  <si>
    <r>
      <t>AKE 05 K3</t>
    </r>
    <r>
      <rPr>
        <sz val="12"/>
        <color theme="1"/>
        <rFont val="Calibri"/>
        <family val="2"/>
        <charset val="162"/>
        <scheme val="minor"/>
      </rPr>
      <t xml:space="preserve"> Atık Toplama ve Değerlendirme Yapılması</t>
    </r>
  </si>
  <si>
    <t>UHA</t>
  </si>
  <si>
    <t>UHA 01 Erişilebilirlik ve Fonksiyonel Bağlantı</t>
  </si>
  <si>
    <r>
      <rPr>
        <b/>
        <sz val="12"/>
        <color theme="1"/>
        <rFont val="Calibri"/>
        <family val="2"/>
        <charset val="162"/>
        <scheme val="minor"/>
      </rPr>
      <t xml:space="preserve">UHA 01 K1 </t>
    </r>
    <r>
      <rPr>
        <sz val="12"/>
        <color theme="1"/>
        <rFont val="Calibri"/>
        <family val="2"/>
        <charset val="162"/>
        <scheme val="minor"/>
      </rPr>
      <t>Mevcut ve öneri fonksiyonları ve erişim mesafelerini içeren raporun hazırlanmış olması</t>
    </r>
  </si>
  <si>
    <r>
      <rPr>
        <b/>
        <sz val="12"/>
        <color theme="1"/>
        <rFont val="Calibri"/>
        <family val="2"/>
        <charset val="162"/>
        <scheme val="minor"/>
      </rPr>
      <t xml:space="preserve">UHA 01 K2 </t>
    </r>
    <r>
      <rPr>
        <sz val="12"/>
        <color theme="1"/>
        <rFont val="Calibri"/>
        <family val="2"/>
        <charset val="162"/>
        <scheme val="minor"/>
      </rPr>
      <t>Çevreye duyarlı farklı ulaşım sistemlerinin hizmet verdiği ve erişilebilirliği yüksek alanların tercih edilmesi</t>
    </r>
  </si>
  <si>
    <r>
      <rPr>
        <b/>
        <sz val="12"/>
        <color theme="1"/>
        <rFont val="Calibri"/>
        <family val="2"/>
        <charset val="162"/>
        <scheme val="minor"/>
      </rPr>
      <t xml:space="preserve">UHA 01 K3 </t>
    </r>
    <r>
      <rPr>
        <sz val="12"/>
        <color theme="1"/>
        <rFont val="Calibri"/>
        <family val="2"/>
        <charset val="162"/>
        <scheme val="minor"/>
      </rPr>
      <t>Arazi dokusuna uygun önerilen ulaşım ağlarının geliştirilmesi</t>
    </r>
  </si>
  <si>
    <r>
      <rPr>
        <b/>
        <sz val="12"/>
        <color theme="1"/>
        <rFont val="Calibri"/>
        <family val="2"/>
        <charset val="162"/>
        <scheme val="minor"/>
      </rPr>
      <t xml:space="preserve">UHA 01 K4 </t>
    </r>
    <r>
      <rPr>
        <sz val="12"/>
        <color theme="1"/>
        <rFont val="Calibri"/>
        <family val="2"/>
        <charset val="162"/>
        <scheme val="minor"/>
      </rPr>
      <t>Toplu taşıma durakları ile fonksiyonlar arası erişim mesafelerinin uygunluğunun sağlanması ve Proje Alanının toplu taşıma sistemi ile ilişkisinin kurulmuş olması</t>
    </r>
  </si>
  <si>
    <r>
      <rPr>
        <b/>
        <sz val="12"/>
        <color theme="1"/>
        <rFont val="Calibri"/>
        <family val="2"/>
        <charset val="162"/>
        <scheme val="minor"/>
      </rPr>
      <t xml:space="preserve">UHA 01 K5 </t>
    </r>
    <r>
      <rPr>
        <sz val="12"/>
        <color theme="1"/>
        <rFont val="Calibri"/>
        <family val="2"/>
        <charset val="162"/>
        <scheme val="minor"/>
      </rPr>
      <t>Proje Alanının mevcut ulaşım koridorları ve ana ulaşım bağlantıları ile ilişkisinin kurulmuş olması</t>
    </r>
  </si>
  <si>
    <t>UHA 02 Sürdürülebilir ve Alternatif Ulaşım Sistemleri</t>
  </si>
  <si>
    <r>
      <t xml:space="preserve">UHA 02 K1 </t>
    </r>
    <r>
      <rPr>
        <sz val="12"/>
        <color theme="1"/>
        <rFont val="Calibri"/>
        <family val="2"/>
        <charset val="162"/>
        <scheme val="minor"/>
      </rPr>
      <t>Kentsel altyapının toplu taşıma ile uygunluğunun sağlanması ve kolaylığının /verimliliğinin artırılması için stratejilerin geliştirilmesi</t>
    </r>
  </si>
  <si>
    <r>
      <t xml:space="preserve">UHA 02 K3 </t>
    </r>
    <r>
      <rPr>
        <sz val="12"/>
        <color theme="1"/>
        <rFont val="Calibri"/>
        <family val="2"/>
        <charset val="162"/>
        <scheme val="minor"/>
      </rPr>
      <t>Bisiklet kullanımının teşvik edilmesi/desteklenmesi</t>
    </r>
  </si>
  <si>
    <r>
      <t xml:space="preserve">UHA 02 K4 </t>
    </r>
    <r>
      <rPr>
        <sz val="12"/>
        <color theme="1"/>
        <rFont val="Calibri"/>
        <family val="2"/>
        <charset val="162"/>
        <scheme val="minor"/>
      </rPr>
      <t>Otomobil bağımlılığını azaltarak günlük aktivitelerin teşvik edilmesi ve yürüyerek erişimin kuvvetlendirilmiş olması</t>
    </r>
  </si>
  <si>
    <t>UHA 03 Ulaşım Kalitesi</t>
  </si>
  <si>
    <r>
      <t>UHA 03 K1</t>
    </r>
    <r>
      <rPr>
        <sz val="12"/>
        <color theme="1"/>
        <rFont val="Calibri"/>
        <family val="2"/>
        <charset val="162"/>
        <scheme val="minor"/>
      </rPr>
      <t xml:space="preserve"> Ulaşım/Seyahat mesafelerinin ve seyahat sürelerinin azaltılmasına ilişkin ulaşım kalitesi raporunun hazırlanması</t>
    </r>
  </si>
  <si>
    <r>
      <t>UHA 03 K3</t>
    </r>
    <r>
      <rPr>
        <sz val="12"/>
        <color theme="1"/>
        <rFont val="Calibri"/>
        <family val="2"/>
        <charset val="162"/>
        <scheme val="minor"/>
      </rPr>
      <t xml:space="preserve"> Güvenli, erişilebilir ve yeterli kapasitede bisiklet park alanlarının olması ve Bisiklet Ağları için Ek hizmet imkanlarının olması</t>
    </r>
  </si>
  <si>
    <r>
      <t>UHA 03 K4</t>
    </r>
    <r>
      <rPr>
        <sz val="12"/>
        <color theme="1"/>
        <rFont val="Calibri"/>
        <family val="2"/>
        <charset val="162"/>
        <scheme val="minor"/>
      </rPr>
      <t xml:space="preserve"> Bisiklet kullanımı için gereken sinyalizasyonun kaliteli, güvenli ve anlaşılabilir tasarlanması</t>
    </r>
  </si>
  <si>
    <t>UHA 04 İklim Değişikliğine Adaptasyon Süreci</t>
  </si>
  <si>
    <r>
      <t>UHA 04 K1</t>
    </r>
    <r>
      <rPr>
        <sz val="12"/>
        <color theme="1"/>
        <rFont val="Calibri"/>
        <family val="2"/>
        <charset val="162"/>
        <scheme val="minor"/>
      </rPr>
      <t xml:space="preserve"> Çevreye duyarlı yüksek kaliteli ulaşım modülleri ve güzergahlarının geliştirilmesi</t>
    </r>
  </si>
  <si>
    <r>
      <t>UHA 04 K2</t>
    </r>
    <r>
      <rPr>
        <sz val="12"/>
        <color theme="1"/>
        <rFont val="Calibri"/>
        <family val="2"/>
        <charset val="162"/>
        <scheme val="minor"/>
      </rPr>
      <t xml:space="preserve"> İklim Değişikliğine Uyum Sağlayan Tasarımların Yapılması</t>
    </r>
  </si>
  <si>
    <r>
      <t>UHA 04 K4</t>
    </r>
    <r>
      <rPr>
        <sz val="12"/>
        <color theme="1"/>
        <rFont val="Calibri"/>
        <family val="2"/>
        <charset val="162"/>
        <scheme val="minor"/>
      </rPr>
      <t xml:space="preserve"> Yağmur suyu toplama sistemlerinin oluşturulması</t>
    </r>
  </si>
  <si>
    <t>KET</t>
  </si>
  <si>
    <t xml:space="preserve">KET 01 Süreç ve Proje Tasarımı </t>
  </si>
  <si>
    <r>
      <t>KET 01 K1</t>
    </r>
    <r>
      <rPr>
        <sz val="12"/>
        <color theme="1"/>
        <rFont val="Calibri"/>
        <family val="2"/>
        <charset val="162"/>
        <scheme val="minor"/>
      </rPr>
      <t xml:space="preserve"> Proje hazırlık, tasarım ve uygulama sürecinde aktif katılımın sağlanmış ve tasarım kritiğinin yapılmış olması</t>
    </r>
  </si>
  <si>
    <r>
      <t xml:space="preserve">KET 01 K2 </t>
    </r>
    <r>
      <rPr>
        <sz val="12"/>
        <color theme="1"/>
        <rFont val="Calibri"/>
        <family val="2"/>
        <charset val="162"/>
        <scheme val="minor"/>
      </rPr>
      <t>Projenin yerel kimlikle uyumlu ve kendi dilini oluşturmuş olması</t>
    </r>
  </si>
  <si>
    <r>
      <t>KET 01 K3</t>
    </r>
    <r>
      <rPr>
        <sz val="12"/>
        <color theme="1"/>
        <rFont val="Calibri"/>
        <family val="2"/>
        <charset val="162"/>
        <scheme val="minor"/>
      </rPr>
      <t xml:space="preserve"> Tasarımın tarihi miras ve kültürü dikkate almış ve içermiş olması</t>
    </r>
  </si>
  <si>
    <t>KET 02 Dolaşım Sistemi</t>
  </si>
  <si>
    <r>
      <t>KET 02 K1</t>
    </r>
    <r>
      <rPr>
        <sz val="12"/>
        <color theme="1"/>
        <rFont val="Calibri"/>
        <family val="2"/>
        <charset val="162"/>
        <scheme val="minor"/>
      </rPr>
      <t xml:space="preserve"> Güvenli, çekici, konforlu, engelsiz ve yürünebilir sokak tasarımlarına yer vermiş olması</t>
    </r>
  </si>
  <si>
    <r>
      <t xml:space="preserve">KET 02 K3 </t>
    </r>
    <r>
      <rPr>
        <sz val="12"/>
        <color theme="1"/>
        <rFont val="Calibri"/>
        <family val="2"/>
        <charset val="162"/>
        <scheme val="minor"/>
      </rPr>
      <t>Toplu taşıma ve bisiklet kullanımının desteklenmiş olması</t>
    </r>
  </si>
  <si>
    <t>KET 03 Kamusal ve Açık Alanlar</t>
  </si>
  <si>
    <r>
      <t xml:space="preserve">KET 03 K1 </t>
    </r>
    <r>
      <rPr>
        <sz val="12"/>
        <color theme="1"/>
        <rFont val="Calibri"/>
        <family val="2"/>
        <charset val="162"/>
        <scheme val="minor"/>
      </rPr>
      <t>Konforlu, yaşayan ve erişilebilir kamusal alanların sağlanmış olması</t>
    </r>
  </si>
  <si>
    <r>
      <t xml:space="preserve">KET 03 K2 </t>
    </r>
    <r>
      <rPr>
        <sz val="12"/>
        <color theme="1"/>
        <rFont val="Calibri"/>
        <family val="2"/>
        <charset val="162"/>
        <scheme val="minor"/>
      </rPr>
      <t>Yüksek kaliteye sahip, erişilebilir yeşil alanlar sağlanmış olması</t>
    </r>
  </si>
  <si>
    <r>
      <t xml:space="preserve">KET 03 K3 </t>
    </r>
    <r>
      <rPr>
        <sz val="12"/>
        <color theme="1"/>
        <rFont val="Calibri"/>
        <family val="2"/>
        <charset val="162"/>
        <scheme val="minor"/>
      </rPr>
      <t>Toplum bahçeleri ile kent tarımının desteklenmiş olması</t>
    </r>
  </si>
  <si>
    <t>KET 04 Hizmetler ve Donatılar</t>
  </si>
  <si>
    <r>
      <t>KET 04 K1</t>
    </r>
    <r>
      <rPr>
        <sz val="12"/>
        <color theme="1"/>
        <rFont val="Calibri"/>
        <family val="2"/>
        <charset val="162"/>
        <scheme val="minor"/>
      </rPr>
      <t xml:space="preserve"> Karma kullanımlı yapılar tasarlanmış olması</t>
    </r>
  </si>
  <si>
    <r>
      <t xml:space="preserve">KET 04 K2 </t>
    </r>
    <r>
      <rPr>
        <sz val="12"/>
        <color theme="1"/>
        <rFont val="Calibri"/>
        <family val="2"/>
        <charset val="162"/>
        <scheme val="minor"/>
      </rPr>
      <t>Erişilebilirliği yüksek servis ve imkanların sunulmuş olması</t>
    </r>
  </si>
  <si>
    <t>KET 05 Yapılar</t>
  </si>
  <si>
    <r>
      <t>KET 05 K1</t>
    </r>
    <r>
      <rPr>
        <sz val="12"/>
        <color theme="1"/>
        <rFont val="Calibri"/>
        <family val="2"/>
        <charset val="162"/>
        <scheme val="minor"/>
      </rPr>
      <t xml:space="preserve"> Mevcut bina ve altyapının kullanılmış olması</t>
    </r>
  </si>
  <si>
    <t>KET 06 Çevre</t>
  </si>
  <si>
    <r>
      <t xml:space="preserve">KET 06 K1 </t>
    </r>
    <r>
      <rPr>
        <sz val="12"/>
        <color theme="1"/>
        <rFont val="Calibri"/>
        <family val="2"/>
        <charset val="162"/>
        <scheme val="minor"/>
      </rPr>
      <t>Mikroklimayı göz önüne alan tasarımlara yer verilmiş olması</t>
    </r>
  </si>
  <si>
    <r>
      <t xml:space="preserve">KET 06 K2 </t>
    </r>
    <r>
      <rPr>
        <sz val="12"/>
        <color theme="1"/>
        <rFont val="Calibri"/>
        <family val="2"/>
        <charset val="162"/>
        <scheme val="minor"/>
      </rPr>
      <t>İklim değişikliğine uyum sağlayan tasarımların yapılması</t>
    </r>
  </si>
  <si>
    <r>
      <t xml:space="preserve">KET 06 K3 </t>
    </r>
    <r>
      <rPr>
        <sz val="12"/>
        <color theme="1"/>
        <rFont val="Calibri"/>
        <family val="2"/>
        <charset val="162"/>
        <scheme val="minor"/>
      </rPr>
      <t>Isı adası etkisinin azaltılmış olması</t>
    </r>
  </si>
  <si>
    <r>
      <t xml:space="preserve">KET 06 K4 </t>
    </r>
    <r>
      <rPr>
        <sz val="12"/>
        <color theme="1"/>
        <rFont val="Calibri"/>
        <family val="2"/>
        <charset val="162"/>
        <scheme val="minor"/>
      </rPr>
      <t>Gürültü kirliliğinin azaltılmış olması</t>
    </r>
  </si>
  <si>
    <r>
      <t xml:space="preserve">KET 06 K5 </t>
    </r>
    <r>
      <rPr>
        <sz val="12"/>
        <color theme="1"/>
        <rFont val="Calibri"/>
        <family val="2"/>
        <charset val="162"/>
        <scheme val="minor"/>
      </rPr>
      <t>Işık kirliliğini azaltacak aydınlatmaların yapılmış olması</t>
    </r>
  </si>
  <si>
    <r>
      <t xml:space="preserve">KET 06 K6 </t>
    </r>
    <r>
      <rPr>
        <sz val="12"/>
        <color theme="1"/>
        <rFont val="Calibri"/>
        <family val="2"/>
        <charset val="162"/>
        <scheme val="minor"/>
      </rPr>
      <t>Açık alanda çevreyi en az kirleten malzemelerin seçilmiş olması</t>
    </r>
  </si>
  <si>
    <r>
      <t>KET 05 K2</t>
    </r>
    <r>
      <rPr>
        <sz val="12"/>
        <color theme="1"/>
        <rFont val="Calibri"/>
        <family val="2"/>
        <charset val="162"/>
        <scheme val="minor"/>
      </rPr>
      <t xml:space="preserve"> Alandaki yapıların yeşil bina sertifikası almış olması</t>
    </r>
  </si>
  <si>
    <r>
      <t>KET 05 K3</t>
    </r>
    <r>
      <rPr>
        <sz val="12"/>
        <color theme="1"/>
        <rFont val="Calibri"/>
        <family val="2"/>
        <charset val="162"/>
        <scheme val="minor"/>
      </rPr>
      <t xml:space="preserve"> Belirlenen çeşitlilik endeksine göre konut tiplerinde çeşitlilik sağlanmış olması</t>
    </r>
  </si>
  <si>
    <t>SES</t>
  </si>
  <si>
    <t>SES 01 Sosyal ve Ekonomik Refah</t>
  </si>
  <si>
    <t>SES 02 Sosyo Kültürel Kalite</t>
  </si>
  <si>
    <r>
      <t>SES 01 K1</t>
    </r>
    <r>
      <rPr>
        <sz val="12"/>
        <color theme="1"/>
        <rFont val="Calibri"/>
        <family val="2"/>
        <charset val="162"/>
        <scheme val="minor"/>
      </rPr>
      <t xml:space="preserve"> Demografik ihtiyaç ve önceliklere uyulması</t>
    </r>
  </si>
  <si>
    <r>
      <t>SES 01 K3</t>
    </r>
    <r>
      <rPr>
        <sz val="12"/>
        <color theme="1"/>
        <rFont val="Calibri"/>
        <family val="2"/>
        <charset val="162"/>
        <scheme val="minor"/>
      </rPr>
      <t xml:space="preserve"> Mesleki eğitim ve becerilerde artış sağlanması</t>
    </r>
  </si>
  <si>
    <r>
      <t>SES 01 K4</t>
    </r>
    <r>
      <rPr>
        <sz val="12"/>
        <color theme="1"/>
        <rFont val="Calibri"/>
        <family val="2"/>
        <charset val="162"/>
        <scheme val="minor"/>
      </rPr>
      <t xml:space="preserve"> Toplumsal kalkınmaya katkı sağlanması</t>
    </r>
  </si>
  <si>
    <r>
      <t>SES 01 K5</t>
    </r>
    <r>
      <rPr>
        <sz val="12"/>
        <color theme="1"/>
        <rFont val="Calibri"/>
        <family val="2"/>
        <charset val="162"/>
        <scheme val="minor"/>
      </rPr>
      <t xml:space="preserve"> İstihdam olanaklarının arttırılması</t>
    </r>
  </si>
  <si>
    <r>
      <t>SES 01 K6</t>
    </r>
    <r>
      <rPr>
        <sz val="12"/>
        <color theme="1"/>
        <rFont val="Calibri"/>
        <family val="2"/>
        <charset val="162"/>
        <scheme val="minor"/>
      </rPr>
      <t xml:space="preserve"> Yatırım kârlılığının yükseltilmesi</t>
    </r>
  </si>
  <si>
    <r>
      <t>SES 01 K7</t>
    </r>
    <r>
      <rPr>
        <sz val="12"/>
        <color theme="1"/>
        <rFont val="Calibri"/>
        <family val="2"/>
        <charset val="162"/>
        <scheme val="minor"/>
      </rPr>
      <t xml:space="preserve"> Arazi değerlerindeki artış</t>
    </r>
  </si>
  <si>
    <r>
      <t>SES 01 K8</t>
    </r>
    <r>
      <rPr>
        <sz val="12"/>
        <color theme="1"/>
        <rFont val="Calibri"/>
        <family val="2"/>
        <charset val="162"/>
        <scheme val="minor"/>
      </rPr>
      <t xml:space="preserve"> Teşvik programlarının kullanılması</t>
    </r>
  </si>
  <si>
    <r>
      <t xml:space="preserve">SES 02 K2 </t>
    </r>
    <r>
      <rPr>
        <sz val="12"/>
        <color theme="1"/>
        <rFont val="Calibri"/>
        <family val="2"/>
        <charset val="162"/>
        <scheme val="minor"/>
      </rPr>
      <t>Sağlıklı ve aktif yaşamın teşvik edilmesi</t>
    </r>
  </si>
  <si>
    <r>
      <t xml:space="preserve">SES 02 K3 </t>
    </r>
    <r>
      <rPr>
        <sz val="12"/>
        <color theme="1"/>
        <rFont val="Calibri"/>
        <family val="2"/>
        <charset val="162"/>
        <scheme val="minor"/>
      </rPr>
      <t>Yerel üretimin desteklenmesi ve yerel ürün kullanımının teşviki</t>
    </r>
  </si>
  <si>
    <t>İNO 01 Yaşam Kalitesini Yükselten Mühendislik ve Tasarım Çözümleri</t>
  </si>
  <si>
    <r>
      <t xml:space="preserve">İNO 01 K1 </t>
    </r>
    <r>
      <rPr>
        <sz val="12"/>
        <color theme="1"/>
        <rFont val="Calibri"/>
        <family val="2"/>
        <charset val="162"/>
        <scheme val="minor"/>
      </rPr>
      <t>İnovasyon- Mevcut sertifika gereklilikleri içinde bulunmayan ancak yeşil yerleşme belgelendirmesinde inovatif değeri olan uygulamaların sağlanmış olması</t>
    </r>
  </si>
  <si>
    <r>
      <t xml:space="preserve">İNO 01 K2 </t>
    </r>
    <r>
      <rPr>
        <sz val="12"/>
        <color theme="1"/>
        <rFont val="Calibri"/>
        <family val="2"/>
        <charset val="162"/>
        <scheme val="minor"/>
      </rPr>
      <t>İyileştirme ve Katılım- Geliştirilecek yenilikçi uygulamalar ile mahalle/kent kullanıcılarının ‘yaşam kalitesi’ni artırıcı iyileştirmeler  sağlanması ve sunulan çözümlerin paydaşlar tarafından kullanılabilir olması</t>
    </r>
  </si>
  <si>
    <r>
      <t xml:space="preserve">İNO 02 K1 </t>
    </r>
    <r>
      <rPr>
        <sz val="12"/>
        <color theme="1"/>
        <rFont val="Calibri"/>
        <family val="2"/>
        <charset val="162"/>
        <scheme val="minor"/>
      </rPr>
      <t>İzleme ve Değerlendirme–Enerji ve Su tüketiminde bilgi teknolojilerine dayalı ‘izleme, ölçme ve değerlendirme’ çözümleri içeriyor olması ve sonuçların paydaşlar tarafından izleniyor olması</t>
    </r>
  </si>
  <si>
    <t>Konut</t>
  </si>
  <si>
    <t>Yeni</t>
  </si>
  <si>
    <t>Mevcut</t>
  </si>
  <si>
    <t>Diğer</t>
  </si>
  <si>
    <r>
      <t>EKV 01 K1</t>
    </r>
    <r>
      <rPr>
        <sz val="12"/>
        <color theme="1"/>
        <rFont val="Calibri"/>
        <family val="2"/>
        <charset val="162"/>
        <scheme val="minor"/>
      </rPr>
      <t xml:space="preserve"> Asgari enerji performansının sağlanması</t>
    </r>
  </si>
  <si>
    <r>
      <t>BBT 04 K2</t>
    </r>
    <r>
      <rPr>
        <sz val="12"/>
        <color theme="1"/>
        <rFont val="Calibri"/>
        <family val="2"/>
        <charset val="162"/>
        <scheme val="minor"/>
      </rPr>
      <t xml:space="preserve"> Şantiye gürültüsünün kontrol altına alınması</t>
    </r>
  </si>
  <si>
    <r>
      <t>BBT 04 K4</t>
    </r>
    <r>
      <rPr>
        <sz val="12"/>
        <color theme="1"/>
        <rFont val="Calibri"/>
        <family val="2"/>
        <charset val="162"/>
        <scheme val="minor"/>
      </rPr>
      <t xml:space="preserve"> Yapım aşamasında enerji ve su tüketiminin kontrolü</t>
    </r>
  </si>
  <si>
    <r>
      <t>BBT 06 K4</t>
    </r>
    <r>
      <rPr>
        <sz val="12"/>
        <color theme="1"/>
        <rFont val="Calibri"/>
        <family val="2"/>
        <charset val="162"/>
        <scheme val="minor"/>
      </rPr>
      <t xml:space="preserve"> Yapının yerleşim sonrası işletiminin optimum seviyede yürütüldüğünün takip edilmesi</t>
    </r>
  </si>
  <si>
    <t>Kredi
(Yeni Yerleşme)</t>
  </si>
  <si>
    <t>Kredi
(Mevcut yerleşme)</t>
  </si>
  <si>
    <r>
      <rPr>
        <b/>
        <sz val="12"/>
        <color theme="1"/>
        <rFont val="Calibri"/>
        <family val="2"/>
        <charset val="162"/>
        <scheme val="minor"/>
      </rPr>
      <t xml:space="preserve">UHA 01 K6 </t>
    </r>
    <r>
      <rPr>
        <sz val="12"/>
        <color theme="1"/>
        <rFont val="Calibri"/>
        <family val="2"/>
        <charset val="162"/>
        <scheme val="minor"/>
      </rPr>
      <t>Yüksek kaliteli Yeşil/Açık Alanlara Erişimin Sağlanması ve Arttırılması</t>
    </r>
  </si>
  <si>
    <t>Modül</t>
  </si>
  <si>
    <t>Tema</t>
  </si>
  <si>
    <t>Kriter</t>
  </si>
  <si>
    <t>Maksimum kredi</t>
  </si>
  <si>
    <t>Katsayılar</t>
  </si>
  <si>
    <t>Ofis</t>
  </si>
  <si>
    <t>Eğitim</t>
  </si>
  <si>
    <t>Otel</t>
  </si>
  <si>
    <t>Sağlık</t>
  </si>
  <si>
    <t>AVM</t>
  </si>
  <si>
    <t>Toplam Puan (İNO hariç)</t>
  </si>
  <si>
    <t>Sertifika Derecesi</t>
  </si>
  <si>
    <t>GEÇER</t>
  </si>
  <si>
    <t>İYİ</t>
  </si>
  <si>
    <t>ÇOK İYİ</t>
  </si>
  <si>
    <t>U.Ü.</t>
  </si>
  <si>
    <t>Modül kredi şartları</t>
  </si>
  <si>
    <t>toplam</t>
  </si>
  <si>
    <t>Evet</t>
  </si>
  <si>
    <t>modül</t>
  </si>
  <si>
    <t>puan</t>
  </si>
  <si>
    <t>Geçer</t>
  </si>
  <si>
    <t>İyi</t>
  </si>
  <si>
    <t>Çok İyi</t>
  </si>
  <si>
    <t>Alınabilir kredi</t>
  </si>
  <si>
    <t>Skor</t>
  </si>
  <si>
    <t>Yerleşme Tipi</t>
  </si>
  <si>
    <t>Bina Tipi :</t>
  </si>
  <si>
    <t>Yeni / Mevcut :</t>
  </si>
  <si>
    <t>Hayır</t>
  </si>
  <si>
    <t>Bu doküman, yeşil sertifika başvurusu yapan projelerin ön değerlendirme aşamasında yeşil sertifika uzmanlarına yardımcı olması amacıyla hazırlanmıştır.
Bu dosyada bulunan hesaplamaların herhangi bir bağlayıcılığı yoktur. 
Kriter adlarının, puanlarının ve hesaplamaların kılavuzdan farklılık göstermesi durumunda mevzuatta bulunan kılavuz geçerlidir.
Bu dosyanın kullanımından doğan sorunlardan dolayı Bakanlık sorumlu tutulamaz.</t>
  </si>
  <si>
    <r>
      <rPr>
        <b/>
        <sz val="12"/>
        <color theme="1"/>
        <rFont val="Calibri"/>
        <family val="2"/>
        <charset val="162"/>
        <scheme val="minor"/>
      </rPr>
      <t xml:space="preserve">BBT 03 K1 </t>
    </r>
    <r>
      <rPr>
        <sz val="12"/>
        <color theme="1"/>
        <rFont val="Calibri"/>
        <family val="2"/>
        <charset val="162"/>
        <scheme val="minor"/>
      </rPr>
      <t>Mahal listesinin hazırlanması</t>
    </r>
  </si>
  <si>
    <r>
      <t xml:space="preserve">İOK 01 K1 </t>
    </r>
    <r>
      <rPr>
        <sz val="12"/>
        <color theme="1"/>
        <rFont val="Calibri"/>
        <family val="2"/>
        <charset val="162"/>
        <scheme val="minor"/>
      </rPr>
      <t>Yapay aydınlatma sistemlerinin gerekli aydınlık düzeyini (E) sağlaması</t>
    </r>
  </si>
  <si>
    <r>
      <t>İOK 01 K3</t>
    </r>
    <r>
      <rPr>
        <sz val="12"/>
        <color theme="1"/>
        <rFont val="Calibri"/>
        <family val="2"/>
        <charset val="162"/>
        <scheme val="minor"/>
      </rPr>
      <t xml:space="preserve"> Yapay aydınlatma sistemlerinin gerekli kamaşma (UGR) değerlerini sağlaması</t>
    </r>
  </si>
  <si>
    <r>
      <t>İOK 01 K2</t>
    </r>
    <r>
      <rPr>
        <sz val="12"/>
        <color theme="1"/>
        <rFont val="Calibri"/>
        <family val="2"/>
        <charset val="162"/>
        <scheme val="minor"/>
      </rPr>
      <t xml:space="preserve"> Yapay aydınlatma sistemlerinin gerekli aydınlık düzgünlüğünü (Uo) sağlaması</t>
    </r>
  </si>
  <si>
    <r>
      <t>İOK 03 K1</t>
    </r>
    <r>
      <rPr>
        <sz val="12"/>
        <color theme="1"/>
        <rFont val="Calibri"/>
        <family val="2"/>
        <charset val="162"/>
        <scheme val="minor"/>
      </rPr>
      <t xml:space="preserve"> Isıl Memnuniyetsizlik Yüzdesinin (PPD indisi) ve Ortalama Isıl Duyu Göstergesinin (PMV indisinin) standartlara uygun olması</t>
    </r>
  </si>
  <si>
    <r>
      <rPr>
        <b/>
        <sz val="12"/>
        <color theme="1"/>
        <rFont val="Calibri"/>
        <family val="2"/>
        <charset val="162"/>
        <scheme val="minor"/>
      </rPr>
      <t xml:space="preserve">YMD 01 K1 </t>
    </r>
    <r>
      <rPr>
        <sz val="12"/>
        <color theme="1"/>
        <rFont val="Calibri"/>
        <family val="2"/>
        <charset val="162"/>
        <scheme val="minor"/>
      </rPr>
      <t>Çevresel Ürün Beyanı (ÇÜB) olan malzemenin seçilmesi</t>
    </r>
  </si>
  <si>
    <r>
      <t xml:space="preserve">YMD 02 K2 </t>
    </r>
    <r>
      <rPr>
        <sz val="12"/>
        <color theme="1"/>
        <rFont val="Calibri"/>
        <family val="2"/>
        <charset val="162"/>
        <scheme val="minor"/>
      </rPr>
      <t>Kimyasal malzeme içeriği</t>
    </r>
  </si>
  <si>
    <r>
      <t>YMD 03 K1</t>
    </r>
    <r>
      <rPr>
        <sz val="12"/>
        <color theme="1"/>
        <rFont val="Calibri"/>
        <family val="2"/>
        <charset val="162"/>
        <scheme val="minor"/>
      </rPr>
      <t xml:space="preserve"> Radon ölçümü yapılması</t>
    </r>
  </si>
  <si>
    <r>
      <t>YMD 06 K1</t>
    </r>
    <r>
      <rPr>
        <sz val="12"/>
        <color theme="1"/>
        <rFont val="Calibri"/>
        <family val="2"/>
        <charset val="162"/>
        <scheme val="minor"/>
      </rPr>
      <t xml:space="preserve"> Geri kazanılmış malzemelerin kullanılması</t>
    </r>
  </si>
  <si>
    <r>
      <t>EKV 01 K2</t>
    </r>
    <r>
      <rPr>
        <sz val="12"/>
        <color theme="1"/>
        <rFont val="Calibri"/>
        <family val="2"/>
        <charset val="162"/>
        <scheme val="minor"/>
      </rPr>
      <t xml:space="preserve"> Ağırlıklı enerji performansının artırılması</t>
    </r>
  </si>
  <si>
    <r>
      <rPr>
        <b/>
        <sz val="12"/>
        <color theme="1"/>
        <rFont val="Calibri"/>
        <family val="2"/>
        <charset val="162"/>
        <scheme val="minor"/>
      </rPr>
      <t>BOL 01 K1</t>
    </r>
    <r>
      <rPr>
        <sz val="12"/>
        <color theme="1"/>
        <rFont val="Calibri"/>
        <family val="2"/>
        <charset val="162"/>
        <scheme val="minor"/>
      </rPr>
      <t xml:space="preserve"> Proje Alanının Sınırlarının Belirlenmesi</t>
    </r>
  </si>
  <si>
    <r>
      <t xml:space="preserve">AKE 01 K1 </t>
    </r>
    <r>
      <rPr>
        <sz val="12"/>
        <color theme="1"/>
        <rFont val="Calibri"/>
        <family val="2"/>
        <charset val="162"/>
        <scheme val="minor"/>
      </rPr>
      <t>Projenin içinde yer aldığı alana/bölgeye ait ‘Proje Alanı Değerlendirme Raporu’nun hazırlanmış olması</t>
    </r>
  </si>
  <si>
    <r>
      <t>AKE 02 K1</t>
    </r>
    <r>
      <rPr>
        <sz val="12"/>
        <color theme="1"/>
        <rFont val="Calibri"/>
        <family val="2"/>
        <charset val="162"/>
        <scheme val="minor"/>
      </rPr>
      <t xml:space="preserve"> Proje Alanındaki Binaların Enerji Verimli Olması</t>
    </r>
  </si>
  <si>
    <r>
      <t>AKE 02 K2</t>
    </r>
    <r>
      <rPr>
        <sz val="12"/>
        <color theme="1"/>
        <rFont val="Calibri"/>
        <family val="2"/>
        <charset val="162"/>
        <scheme val="minor"/>
      </rPr>
      <t xml:space="preserve"> Bölgesel Isıtma Sistemlerinden Yararlanılması</t>
    </r>
  </si>
  <si>
    <r>
      <t>AKE 02 K3</t>
    </r>
    <r>
      <rPr>
        <sz val="12"/>
        <color theme="1"/>
        <rFont val="Calibri"/>
        <family val="2"/>
        <charset val="162"/>
        <scheme val="minor"/>
      </rPr>
      <t xml:space="preserve"> Proje Alanında Yenilenebilir Enerji Kullanılması</t>
    </r>
  </si>
  <si>
    <r>
      <rPr>
        <b/>
        <sz val="12"/>
        <color theme="1"/>
        <rFont val="Calibri"/>
        <family val="2"/>
        <charset val="162"/>
        <scheme val="minor"/>
      </rPr>
      <t xml:space="preserve">UHA 01 K7 </t>
    </r>
    <r>
      <rPr>
        <sz val="12"/>
        <color theme="1"/>
        <rFont val="Calibri"/>
        <family val="2"/>
        <charset val="162"/>
        <scheme val="minor"/>
      </rPr>
      <t>Proje alanın bütünleşik kullanımları içermesi (konut-işyeri bağlantısının kurulmuş olması) ve evden çalışma imkanlarının desteklenmesi</t>
    </r>
  </si>
  <si>
    <r>
      <t xml:space="preserve">UHA 02 K2 </t>
    </r>
    <r>
      <rPr>
        <sz val="12"/>
        <color theme="1"/>
        <rFont val="Calibri"/>
        <family val="2"/>
        <charset val="162"/>
        <scheme val="minor"/>
      </rPr>
      <t>Bisiklet ile güvenli ve rahat ulaşım imkanları sağlamak</t>
    </r>
  </si>
  <si>
    <r>
      <t>UHA 03 K2</t>
    </r>
    <r>
      <rPr>
        <sz val="12"/>
        <color theme="1"/>
        <rFont val="Calibri"/>
        <family val="2"/>
        <charset val="162"/>
        <scheme val="minor"/>
      </rPr>
      <t xml:space="preserve"> Toplu taşıma sistemleri ve bağlantılarında, bisiklet ve yaya yollarının tasarımında engelsiz tasarım ilkelerinin kullanılması</t>
    </r>
  </si>
  <si>
    <r>
      <t>UHA 04 K6</t>
    </r>
    <r>
      <rPr>
        <sz val="12"/>
        <color theme="1"/>
        <rFont val="Calibri"/>
        <family val="2"/>
        <charset val="162"/>
        <scheme val="minor"/>
      </rPr>
      <t xml:space="preserve"> Otopark alanlarının kontrolü </t>
    </r>
  </si>
  <si>
    <r>
      <t>UHA 04 K5</t>
    </r>
    <r>
      <rPr>
        <sz val="12"/>
        <color theme="1"/>
        <rFont val="Calibri"/>
        <family val="2"/>
        <charset val="162"/>
        <scheme val="minor"/>
      </rPr>
      <t xml:space="preserve"> Elektrikli Araç Kullanımı Olanaklarının Geliştirilmiş Olması</t>
    </r>
  </si>
  <si>
    <r>
      <t>UHA 04 K3</t>
    </r>
    <r>
      <rPr>
        <sz val="12"/>
        <color theme="1"/>
        <rFont val="Calibri"/>
        <family val="2"/>
        <charset val="162"/>
        <scheme val="minor"/>
      </rPr>
      <t xml:space="preserve"> Isı adası etkisinin azaltılmasına yönelik alternatif sistemlerin geliştirilmesi</t>
    </r>
  </si>
  <si>
    <r>
      <t>KET 02 K2</t>
    </r>
    <r>
      <rPr>
        <sz val="12"/>
        <color theme="1"/>
        <rFont val="Calibri"/>
        <family val="2"/>
        <charset val="162"/>
        <scheme val="minor"/>
      </rPr>
      <t xml:space="preserve"> Yapılaşmış alan oranının azaltılması</t>
    </r>
  </si>
  <si>
    <r>
      <t>SES 01 K2</t>
    </r>
    <r>
      <rPr>
        <sz val="12"/>
        <color theme="1"/>
        <rFont val="Calibri"/>
        <family val="2"/>
        <charset val="162"/>
        <scheme val="minor"/>
      </rPr>
      <t xml:space="preserve"> Hizmetlerinin erişilebilir olması</t>
    </r>
  </si>
  <si>
    <r>
      <t xml:space="preserve">SES 02 K1 </t>
    </r>
    <r>
      <rPr>
        <sz val="12"/>
        <color theme="1"/>
        <rFont val="Calibri"/>
        <family val="2"/>
        <charset val="162"/>
        <scheme val="minor"/>
      </rPr>
      <t>Spor alanlarının düzenlenmesi</t>
    </r>
  </si>
  <si>
    <t>AKE</t>
  </si>
  <si>
    <t>YeS-TR Puan Hesaplama v1.2 (2024)</t>
  </si>
  <si>
    <t>Kredi:
Ağırlıklı kredi:</t>
  </si>
  <si>
    <t>-</t>
  </si>
  <si>
    <t>Zorunluluk sağlandı mı?</t>
  </si>
  <si>
    <t>Zorunluluklar sağlandı mı</t>
  </si>
  <si>
    <t>BİNA ve YERLEŞME sayfalarında korunan değerleri değiştirmek için : "Gözden Geçir" &gt; "Sayfayı Koru" &gt; parola :1234
Gelecekteki puanlama değişikliklerini bu dosyaya geçirmek için gizlenmiş sayfalar açılarak ilgili yerlerde düzenleme yapılmalıdır.
BİNA ve YERLEŞME sayfasında zorunlu kritlerlerde "Evet/Hayır" şeçimi yapılmalıdır.</t>
  </si>
  <si>
    <r>
      <rPr>
        <u/>
        <sz val="11"/>
        <color theme="1"/>
        <rFont val="Calibri"/>
        <family val="2"/>
        <charset val="162"/>
        <scheme val="minor"/>
      </rPr>
      <t>Versiyonlar</t>
    </r>
    <r>
      <rPr>
        <sz val="11"/>
        <color theme="1"/>
        <rFont val="Calibri"/>
        <family val="2"/>
        <charset val="162"/>
        <scheme val="minor"/>
      </rPr>
      <t xml:space="preserve">
v1.1: 2022 tarihli kılavuza göre hazırlandı.
v1.2: 2024 tarihinde yapılan yönetmelik değişiklikleri kapsamında revize edildi. Bina sekmesine zorunlu kriterlerin doğrulaması eklendi.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</si>
</sst>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sz val="11"/>
      <color rgb="FF9C0006"/>
      <name val="Calibri"/>
      <family val="2"/>
      <charset val="162"/>
      <scheme val="minor"/>
    </font>
    <font>
      <b/>
      <sz val="16"/>
      <color theme="1"/>
      <name val="Calibri"/>
      <family val="2"/>
      <charset val="162"/>
      <scheme val="minor"/>
    </font>
    <font>
      <b/>
      <sz val="12"/>
      <color theme="1"/>
      <name val="Calibri"/>
      <family val="2"/>
      <charset val="162"/>
      <scheme val="minor"/>
    </font>
    <font>
      <sz val="12"/>
      <color theme="1"/>
      <name val="Calibri"/>
      <family val="2"/>
      <charset val="162"/>
      <scheme val="minor"/>
    </font>
    <font>
      <sz val="11"/>
      <name val="Calibri"/>
      <family val="2"/>
      <charset val="162"/>
      <scheme val="minor"/>
    </font>
    <font>
      <sz val="12"/>
      <name val="Calibri"/>
      <family val="2"/>
      <charset val="162"/>
      <scheme val="minor"/>
    </font>
    <font>
      <b/>
      <sz val="12"/>
      <name val="Calibri"/>
      <family val="2"/>
      <charset val="162"/>
      <scheme val="minor"/>
    </font>
    <font>
      <sz val="10"/>
      <color theme="1"/>
      <name val="Calibri"/>
      <family val="2"/>
      <charset val="162"/>
      <scheme val="minor"/>
    </font>
    <font>
      <b/>
      <sz val="11"/>
      <name val="Calibri"/>
      <family val="2"/>
      <charset val="162"/>
      <scheme val="minor"/>
    </font>
    <font>
      <sz val="8"/>
      <name val="Calibri"/>
      <family val="2"/>
      <charset val="162"/>
      <scheme val="minor"/>
    </font>
    <font>
      <b/>
      <sz val="11"/>
      <color theme="1"/>
      <name val="Calibri"/>
      <family val="2"/>
      <charset val="162"/>
      <scheme val="minor"/>
    </font>
    <font>
      <u/>
      <sz val="11"/>
      <color theme="1"/>
      <name val="Calibri"/>
      <family val="2"/>
      <charset val="162"/>
      <scheme val="minor"/>
    </font>
    <font>
      <sz val="18"/>
      <color theme="1"/>
      <name val="Calibri"/>
      <family val="2"/>
      <charset val="162"/>
      <scheme val="minor"/>
    </font>
  </fonts>
  <fills count="32">
    <fill>
      <patternFill patternType="none"/>
    </fill>
    <fill>
      <patternFill patternType="gray125"/>
    </fill>
    <fill>
      <patternFill patternType="solid">
        <fgColor rgb="FFFFC7CE"/>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8BFF"/>
        <bgColor indexed="64"/>
      </patternFill>
    </fill>
    <fill>
      <patternFill patternType="solid">
        <fgColor rgb="FFFFABFF"/>
        <bgColor indexed="64"/>
      </patternFill>
    </fill>
    <fill>
      <patternFill patternType="solid">
        <fgColor rgb="FFFFCDFF"/>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5757"/>
        <bgColor indexed="64"/>
      </patternFill>
    </fill>
    <fill>
      <patternFill patternType="solid">
        <fgColor rgb="FFFF7979"/>
        <bgColor indexed="64"/>
      </patternFill>
    </fill>
    <fill>
      <patternFill patternType="solid">
        <fgColor rgb="FFFFA7A7"/>
        <bgColor indexed="64"/>
      </patternFill>
    </fill>
    <fill>
      <patternFill patternType="solid">
        <fgColor rgb="FFFF0000"/>
        <bgColor indexed="64"/>
      </patternFill>
    </fill>
    <fill>
      <patternFill patternType="solid">
        <fgColor rgb="FF85FFFF"/>
        <bgColor indexed="64"/>
      </patternFill>
    </fill>
    <fill>
      <patternFill patternType="solid">
        <fgColor rgb="FFA3FFFF"/>
        <bgColor indexed="64"/>
      </patternFill>
    </fill>
    <fill>
      <patternFill patternType="solid">
        <fgColor rgb="FFD5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7030A0"/>
        <bgColor indexed="64"/>
      </patternFill>
    </fill>
    <fill>
      <patternFill patternType="solid">
        <fgColor rgb="FFB381D9"/>
        <bgColor indexed="64"/>
      </patternFill>
    </fill>
    <fill>
      <patternFill patternType="solid">
        <fgColor rgb="FFDCC5ED"/>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2" borderId="0" applyNumberFormat="0" applyBorder="0" applyAlignment="0" applyProtection="0"/>
  </cellStyleXfs>
  <cellXfs count="460">
    <xf numFmtId="0" fontId="0" fillId="0" borderId="0" xfId="0"/>
    <xf numFmtId="0" fontId="4" fillId="0" borderId="0" xfId="0" applyFont="1" applyAlignment="1">
      <alignment horizontal="left" vertical="center" wrapText="1"/>
    </xf>
    <xf numFmtId="0" fontId="4" fillId="5" borderId="3"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2" fillId="0" borderId="0" xfId="0" applyFont="1" applyBorder="1" applyAlignment="1">
      <alignment horizontal="center" vertical="center"/>
    </xf>
    <xf numFmtId="0" fontId="3" fillId="8" borderId="3"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8" borderId="14"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4" fillId="11" borderId="14"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20"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2" xfId="0" applyFont="1" applyFill="1" applyBorder="1" applyAlignment="1">
      <alignment horizontal="left" vertical="center" wrapText="1"/>
    </xf>
    <xf numFmtId="0" fontId="3" fillId="11" borderId="9" xfId="0" applyFont="1" applyFill="1" applyBorder="1" applyAlignment="1">
      <alignment horizontal="left" vertical="center" wrapText="1"/>
    </xf>
    <xf numFmtId="0" fontId="3" fillId="0" borderId="0" xfId="0" applyFont="1" applyBorder="1" applyAlignment="1">
      <alignment horizontal="left" vertical="center" wrapText="1"/>
    </xf>
    <xf numFmtId="0" fontId="3" fillId="14" borderId="9" xfId="0" applyFont="1" applyFill="1" applyBorder="1" applyAlignment="1">
      <alignment horizontal="left" vertical="center" wrapText="1"/>
    </xf>
    <xf numFmtId="0" fontId="3" fillId="14" borderId="12"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3" fillId="18" borderId="9" xfId="0" applyFont="1" applyFill="1" applyBorder="1" applyAlignment="1">
      <alignment horizontal="left" vertical="center" wrapText="1"/>
    </xf>
    <xf numFmtId="0" fontId="3" fillId="18" borderId="12"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3" fillId="20" borderId="13" xfId="0" applyFont="1" applyFill="1" applyBorder="1" applyAlignment="1">
      <alignment horizontal="left" vertical="center" wrapText="1"/>
    </xf>
    <xf numFmtId="0" fontId="8" fillId="0" borderId="40"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15" borderId="41" xfId="0" applyFont="1" applyFill="1" applyBorder="1" applyAlignment="1">
      <alignment horizontal="center" vertical="center" wrapText="1"/>
    </xf>
    <xf numFmtId="0" fontId="0" fillId="15" borderId="23"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15" borderId="49" xfId="0" applyFont="1" applyFill="1" applyBorder="1" applyAlignment="1">
      <alignment horizontal="center" vertical="center" wrapText="1"/>
    </xf>
    <xf numFmtId="0" fontId="0" fillId="15" borderId="48" xfId="0" applyFont="1" applyFill="1" applyBorder="1" applyAlignment="1">
      <alignment horizontal="center" vertical="center" wrapText="1"/>
    </xf>
    <xf numFmtId="0" fontId="0" fillId="15" borderId="45" xfId="0" applyFont="1" applyFill="1" applyBorder="1" applyAlignment="1">
      <alignment horizontal="center" vertical="center" wrapText="1"/>
    </xf>
    <xf numFmtId="0" fontId="0" fillId="15" borderId="46" xfId="0" applyFont="1" applyFill="1" applyBorder="1" applyAlignment="1">
      <alignment horizontal="center" vertical="center" wrapText="1"/>
    </xf>
    <xf numFmtId="0" fontId="0" fillId="15" borderId="25" xfId="0" applyFont="1" applyFill="1" applyBorder="1" applyAlignment="1">
      <alignment horizontal="center" vertical="center" wrapText="1"/>
    </xf>
    <xf numFmtId="0" fontId="5" fillId="0" borderId="13" xfId="0" applyFont="1" applyBorder="1" applyAlignment="1">
      <alignment horizontal="center" vertical="center"/>
    </xf>
    <xf numFmtId="0" fontId="8" fillId="0" borderId="45"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19" xfId="0" applyFont="1" applyBorder="1" applyAlignment="1">
      <alignment horizontal="center" vertical="center"/>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4" xfId="0" applyFont="1" applyBorder="1" applyAlignment="1">
      <alignment horizontal="center" vertical="center" wrapText="1"/>
    </xf>
    <xf numFmtId="0" fontId="3" fillId="14" borderId="26" xfId="0" applyFont="1" applyFill="1" applyBorder="1" applyAlignment="1">
      <alignment horizontal="left" vertical="center" wrapText="1"/>
    </xf>
    <xf numFmtId="0" fontId="8" fillId="15" borderId="41" xfId="0" applyFont="1" applyFill="1" applyBorder="1" applyAlignment="1">
      <alignment horizontal="center" vertical="center" wrapText="1"/>
    </xf>
    <xf numFmtId="0" fontId="8" fillId="15" borderId="23" xfId="0" applyFont="1" applyFill="1" applyBorder="1" applyAlignment="1">
      <alignment horizontal="center" vertical="center" wrapText="1"/>
    </xf>
    <xf numFmtId="0" fontId="3" fillId="21" borderId="3" xfId="0" applyFont="1" applyFill="1" applyBorder="1" applyAlignment="1">
      <alignment horizontal="left" vertical="center" wrapText="1"/>
    </xf>
    <xf numFmtId="0" fontId="3" fillId="21" borderId="12" xfId="0" applyFont="1" applyFill="1" applyBorder="1" applyAlignment="1">
      <alignment horizontal="left" vertical="center" wrapText="1"/>
    </xf>
    <xf numFmtId="0" fontId="5" fillId="0" borderId="2" xfId="0" applyFont="1" applyBorder="1" applyAlignment="1">
      <alignment horizontal="center" vertical="center"/>
    </xf>
    <xf numFmtId="0" fontId="4" fillId="21" borderId="14" xfId="0" applyFont="1" applyFill="1" applyBorder="1" applyAlignment="1">
      <alignment horizontal="left" vertical="center" wrapText="1"/>
    </xf>
    <xf numFmtId="0" fontId="5" fillId="0" borderId="3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vertical="center"/>
    </xf>
    <xf numFmtId="0" fontId="5" fillId="15" borderId="10" xfId="1" applyFont="1" applyFill="1" applyBorder="1" applyAlignment="1">
      <alignment horizontal="center" vertical="center"/>
    </xf>
    <xf numFmtId="0" fontId="5" fillId="0" borderId="10" xfId="0" applyFont="1" applyBorder="1" applyAlignment="1">
      <alignment horizontal="center" vertical="center"/>
    </xf>
    <xf numFmtId="0" fontId="5" fillId="15" borderId="10" xfId="0" applyFont="1" applyFill="1" applyBorder="1" applyAlignment="1">
      <alignment horizontal="center" vertical="center"/>
    </xf>
    <xf numFmtId="0" fontId="5" fillId="15" borderId="2" xfId="1" applyFont="1" applyFill="1" applyBorder="1" applyAlignment="1">
      <alignment horizontal="center" vertical="center"/>
    </xf>
    <xf numFmtId="0" fontId="5" fillId="0" borderId="8" xfId="0" applyFont="1" applyBorder="1" applyAlignment="1">
      <alignment horizontal="center" vertical="center"/>
    </xf>
    <xf numFmtId="0" fontId="3" fillId="4" borderId="13" xfId="0" applyFont="1" applyFill="1" applyBorder="1" applyAlignment="1">
      <alignment horizontal="left" vertical="center" wrapText="1"/>
    </xf>
    <xf numFmtId="0" fontId="5" fillId="15" borderId="8" xfId="1" applyFont="1" applyFill="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Fill="1" applyBorder="1" applyAlignment="1">
      <alignment horizontal="center" vertical="center"/>
    </xf>
    <xf numFmtId="0" fontId="4" fillId="0" borderId="0" xfId="0" applyFont="1" applyBorder="1" applyAlignment="1">
      <alignment vertical="center"/>
    </xf>
    <xf numFmtId="0" fontId="5" fillId="0" borderId="0" xfId="0" applyFont="1" applyFill="1" applyBorder="1" applyAlignment="1">
      <alignment horizontal="center" vertical="center"/>
    </xf>
    <xf numFmtId="0" fontId="0" fillId="0" borderId="0" xfId="0" applyFont="1" applyBorder="1" applyAlignment="1">
      <alignment vertical="center"/>
    </xf>
    <xf numFmtId="0" fontId="4" fillId="0" borderId="0" xfId="0" applyFont="1" applyFill="1" applyBorder="1" applyAlignment="1">
      <alignment vertical="center" wrapText="1"/>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vertical="center" wrapText="1"/>
    </xf>
    <xf numFmtId="0" fontId="3" fillId="10" borderId="13" xfId="0" applyFont="1" applyFill="1" applyBorder="1" applyAlignment="1">
      <alignment horizontal="left" vertical="center" wrapText="1"/>
    </xf>
    <xf numFmtId="0" fontId="3" fillId="10" borderId="19" xfId="0" applyFont="1" applyFill="1" applyBorder="1" applyAlignment="1">
      <alignment horizontal="left" vertical="center" wrapText="1"/>
    </xf>
    <xf numFmtId="0" fontId="3" fillId="10" borderId="21" xfId="0" applyFont="1" applyFill="1" applyBorder="1" applyAlignment="1">
      <alignment horizontal="left" vertical="center" wrapText="1"/>
    </xf>
    <xf numFmtId="0" fontId="5" fillId="0" borderId="37" xfId="0" applyFont="1" applyFill="1" applyBorder="1" applyAlignment="1">
      <alignment horizontal="center" vertical="center"/>
    </xf>
    <xf numFmtId="0" fontId="0" fillId="0" borderId="3" xfId="0" applyFont="1" applyBorder="1" applyAlignment="1">
      <alignment horizontal="center" vertical="center"/>
    </xf>
    <xf numFmtId="0" fontId="0" fillId="0" borderId="41" xfId="0" applyFont="1" applyBorder="1" applyAlignment="1">
      <alignment horizontal="center" vertical="center"/>
    </xf>
    <xf numFmtId="0" fontId="0" fillId="0" borderId="9" xfId="0" applyFont="1" applyBorder="1" applyAlignment="1">
      <alignment horizontal="center" vertical="center"/>
    </xf>
    <xf numFmtId="0" fontId="0" fillId="0" borderId="40" xfId="0" applyFont="1" applyBorder="1" applyAlignment="1">
      <alignment horizontal="center" vertical="center"/>
    </xf>
    <xf numFmtId="0" fontId="5" fillId="15" borderId="8" xfId="0" applyFont="1" applyFill="1" applyBorder="1" applyAlignment="1">
      <alignment horizontal="center" vertical="center"/>
    </xf>
    <xf numFmtId="0" fontId="5" fillId="15" borderId="40" xfId="0" applyFont="1" applyFill="1" applyBorder="1" applyAlignment="1">
      <alignment horizontal="center" vertical="center"/>
    </xf>
    <xf numFmtId="0" fontId="5" fillId="0" borderId="40" xfId="0" applyFont="1" applyBorder="1" applyAlignment="1">
      <alignment horizontal="center" vertical="center"/>
    </xf>
    <xf numFmtId="0" fontId="0" fillId="0" borderId="32" xfId="0" applyFont="1" applyBorder="1" applyAlignment="1">
      <alignment horizontal="center" vertical="center"/>
    </xf>
    <xf numFmtId="0" fontId="0" fillId="0" borderId="43" xfId="0" applyFont="1" applyBorder="1"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4" fillId="11" borderId="27" xfId="0" applyFont="1" applyFill="1" applyBorder="1" applyAlignment="1">
      <alignment horizontal="left" vertical="center" wrapText="1"/>
    </xf>
    <xf numFmtId="0" fontId="4" fillId="11" borderId="28" xfId="0" applyFont="1" applyFill="1" applyBorder="1" applyAlignment="1">
      <alignment horizontal="left" vertical="center" wrapText="1"/>
    </xf>
    <xf numFmtId="0" fontId="4" fillId="11" borderId="29" xfId="0" applyFont="1" applyFill="1" applyBorder="1" applyAlignment="1">
      <alignment horizontal="left" vertical="center" wrapText="1"/>
    </xf>
    <xf numFmtId="0" fontId="4" fillId="11" borderId="26" xfId="0" applyFont="1" applyFill="1" applyBorder="1" applyAlignment="1">
      <alignment horizontal="left" vertical="center" wrapText="1"/>
    </xf>
    <xf numFmtId="0" fontId="4" fillId="11" borderId="32" xfId="0" applyFont="1" applyFill="1" applyBorder="1" applyAlignment="1">
      <alignment horizontal="left" vertical="center" wrapText="1"/>
    </xf>
    <xf numFmtId="0" fontId="3" fillId="22" borderId="3" xfId="0" applyFont="1" applyFill="1" applyBorder="1" applyAlignment="1">
      <alignment horizontal="left" vertical="center" wrapText="1"/>
    </xf>
    <xf numFmtId="0" fontId="3" fillId="22" borderId="9" xfId="0" applyFont="1" applyFill="1" applyBorder="1" applyAlignment="1">
      <alignment horizontal="left" vertical="center" wrapText="1"/>
    </xf>
    <xf numFmtId="0" fontId="6" fillId="0" borderId="0" xfId="0" applyFont="1" applyBorder="1" applyAlignment="1">
      <alignmen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horizontal="center" vertical="center"/>
    </xf>
    <xf numFmtId="0" fontId="9" fillId="0" borderId="40" xfId="0" applyFont="1" applyBorder="1" applyAlignment="1">
      <alignment horizontal="center" vertical="center"/>
    </xf>
    <xf numFmtId="0" fontId="3" fillId="0" borderId="40" xfId="0" applyFont="1" applyBorder="1" applyAlignment="1">
      <alignment horizontal="right" vertical="center" wrapText="1"/>
    </xf>
    <xf numFmtId="0" fontId="9" fillId="0" borderId="40" xfId="0" applyFont="1" applyBorder="1" applyAlignment="1">
      <alignment horizontal="right" vertical="center"/>
    </xf>
    <xf numFmtId="0" fontId="3" fillId="31" borderId="39" xfId="0" applyFont="1" applyFill="1" applyBorder="1" applyAlignment="1">
      <alignment horizontal="center" vertical="center" wrapText="1"/>
    </xf>
    <xf numFmtId="0" fontId="3" fillId="31" borderId="39" xfId="0" applyFont="1" applyFill="1" applyBorder="1" applyAlignment="1">
      <alignment horizontal="left" vertical="center" wrapText="1"/>
    </xf>
    <xf numFmtId="0" fontId="4" fillId="0" borderId="17" xfId="0" applyFont="1" applyBorder="1" applyAlignment="1">
      <alignment horizontal="center" vertical="center"/>
    </xf>
    <xf numFmtId="0" fontId="9" fillId="0" borderId="0" xfId="0" applyFont="1" applyAlignment="1">
      <alignment vertical="center"/>
    </xf>
    <xf numFmtId="0" fontId="4" fillId="31" borderId="23" xfId="0" applyFont="1" applyFill="1" applyBorder="1" applyAlignment="1">
      <alignment horizontal="center" vertical="center"/>
    </xf>
    <xf numFmtId="0" fontId="4" fillId="31" borderId="24" xfId="0" applyFont="1" applyFill="1" applyBorder="1" applyAlignment="1">
      <alignment horizontal="center" vertical="center"/>
    </xf>
    <xf numFmtId="0" fontId="4" fillId="31" borderId="48" xfId="0" applyFont="1" applyFill="1" applyBorder="1" applyAlignment="1">
      <alignment horizontal="center" vertical="center"/>
    </xf>
    <xf numFmtId="0" fontId="4" fillId="31" borderId="34" xfId="0" applyFont="1" applyFill="1" applyBorder="1" applyAlignment="1">
      <alignment horizontal="center" vertical="center"/>
    </xf>
    <xf numFmtId="0" fontId="4" fillId="31" borderId="25" xfId="0" applyFont="1" applyFill="1" applyBorder="1" applyAlignment="1">
      <alignment horizontal="center" vertical="center"/>
    </xf>
    <xf numFmtId="0" fontId="3" fillId="11" borderId="39" xfId="0" applyFont="1" applyFill="1" applyBorder="1" applyAlignment="1">
      <alignment horizontal="center" vertical="center" wrapText="1"/>
    </xf>
    <xf numFmtId="0" fontId="4" fillId="23" borderId="39" xfId="0" applyFont="1" applyFill="1" applyBorder="1" applyAlignment="1">
      <alignment horizontal="left" vertical="center" wrapText="1"/>
    </xf>
    <xf numFmtId="0" fontId="4" fillId="23" borderId="39" xfId="0" applyFont="1" applyFill="1" applyBorder="1" applyAlignment="1">
      <alignment horizontal="center" vertical="center"/>
    </xf>
    <xf numFmtId="0" fontId="4" fillId="31" borderId="47" xfId="0" applyFont="1" applyFill="1" applyBorder="1" applyAlignment="1">
      <alignment horizontal="center" vertical="center"/>
    </xf>
    <xf numFmtId="0" fontId="3" fillId="0" borderId="40" xfId="0" applyFont="1" applyBorder="1" applyAlignment="1">
      <alignment horizontal="center" vertical="center"/>
    </xf>
    <xf numFmtId="0" fontId="3" fillId="22" borderId="39" xfId="0" applyFont="1" applyFill="1" applyBorder="1" applyAlignment="1" applyProtection="1">
      <alignment horizontal="center" vertical="center"/>
      <protection locked="0"/>
    </xf>
    <xf numFmtId="0" fontId="3" fillId="22" borderId="39" xfId="0"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6" fillId="0" borderId="0" xfId="0" applyFont="1" applyFill="1" applyBorder="1" applyAlignment="1">
      <alignment vertical="center"/>
    </xf>
    <xf numFmtId="0" fontId="6" fillId="31" borderId="7" xfId="1" applyFont="1" applyFill="1" applyBorder="1" applyAlignment="1">
      <alignment horizontal="center" vertical="center"/>
    </xf>
    <xf numFmtId="0" fontId="6" fillId="31" borderId="1" xfId="1" applyFont="1" applyFill="1" applyBorder="1" applyAlignment="1">
      <alignment horizontal="center" vertical="center"/>
    </xf>
    <xf numFmtId="0" fontId="6" fillId="31" borderId="15" xfId="1" applyFont="1" applyFill="1" applyBorder="1" applyAlignment="1">
      <alignment horizontal="center" vertical="center"/>
    </xf>
    <xf numFmtId="0" fontId="3" fillId="28" borderId="27" xfId="0" applyFont="1" applyFill="1" applyBorder="1" applyAlignment="1">
      <alignment horizontal="left" vertical="center" wrapText="1"/>
    </xf>
    <xf numFmtId="0" fontId="3" fillId="28" borderId="28" xfId="0" applyFont="1" applyFill="1" applyBorder="1" applyAlignment="1">
      <alignment horizontal="left" vertical="center" wrapText="1"/>
    </xf>
    <xf numFmtId="0" fontId="3" fillId="28" borderId="58" xfId="0" applyFont="1" applyFill="1" applyBorder="1" applyAlignment="1">
      <alignment horizontal="left" vertical="center" wrapText="1"/>
    </xf>
    <xf numFmtId="0" fontId="3" fillId="28" borderId="29" xfId="0" applyFont="1" applyFill="1" applyBorder="1" applyAlignment="1">
      <alignment horizontal="left" vertical="center" wrapText="1"/>
    </xf>
    <xf numFmtId="0" fontId="6" fillId="31" borderId="59" xfId="0" applyFont="1" applyFill="1" applyBorder="1" applyAlignment="1">
      <alignment horizontal="center" vertical="center"/>
    </xf>
    <xf numFmtId="0" fontId="6" fillId="31" borderId="60" xfId="0" applyFont="1" applyFill="1" applyBorder="1" applyAlignment="1">
      <alignment horizontal="center" vertical="center"/>
    </xf>
    <xf numFmtId="0" fontId="6" fillId="31" borderId="60" xfId="1" applyFont="1" applyFill="1" applyBorder="1" applyAlignment="1">
      <alignment horizontal="center" vertical="center"/>
    </xf>
    <xf numFmtId="0" fontId="6" fillId="31" borderId="61" xfId="0" applyFont="1" applyFill="1" applyBorder="1" applyAlignment="1">
      <alignment horizontal="center" vertical="center"/>
    </xf>
    <xf numFmtId="0" fontId="6" fillId="31" borderId="52" xfId="0" applyFont="1" applyFill="1" applyBorder="1" applyAlignment="1">
      <alignment horizontal="center" vertical="center"/>
    </xf>
    <xf numFmtId="0" fontId="3" fillId="21" borderId="14" xfId="0" applyFont="1" applyFill="1" applyBorder="1" applyAlignment="1">
      <alignment horizontal="left" vertical="center" wrapText="1"/>
    </xf>
    <xf numFmtId="0" fontId="6" fillId="31" borderId="57" xfId="0" applyFont="1" applyFill="1" applyBorder="1" applyAlignment="1">
      <alignment horizontal="center" vertical="center"/>
    </xf>
    <xf numFmtId="0" fontId="3" fillId="18" borderId="27" xfId="0" applyFont="1" applyFill="1" applyBorder="1" applyAlignment="1">
      <alignment horizontal="left" vertical="center" wrapText="1"/>
    </xf>
    <xf numFmtId="0" fontId="3" fillId="18" borderId="28" xfId="0" applyFont="1" applyFill="1" applyBorder="1" applyAlignment="1">
      <alignment horizontal="left" vertical="center" wrapText="1"/>
    </xf>
    <xf numFmtId="0" fontId="3" fillId="18" borderId="29" xfId="0" applyFont="1" applyFill="1" applyBorder="1" applyAlignment="1">
      <alignment horizontal="left" vertical="center" wrapText="1"/>
    </xf>
    <xf numFmtId="0" fontId="6" fillId="31" borderId="59" xfId="1" applyFont="1" applyFill="1" applyBorder="1" applyAlignment="1">
      <alignment horizontal="center" vertical="center"/>
    </xf>
    <xf numFmtId="0" fontId="6" fillId="31" borderId="61" xfId="1" applyFont="1" applyFill="1" applyBorder="1" applyAlignment="1">
      <alignment horizontal="center" vertical="center"/>
    </xf>
    <xf numFmtId="0" fontId="6" fillId="31" borderId="52" xfId="1" applyFont="1" applyFill="1" applyBorder="1" applyAlignment="1">
      <alignment horizontal="center" vertical="center"/>
    </xf>
    <xf numFmtId="0" fontId="4" fillId="27" borderId="27" xfId="0" applyFont="1" applyFill="1" applyBorder="1" applyAlignment="1">
      <alignment horizontal="left" vertical="center" wrapText="1"/>
    </xf>
    <xf numFmtId="0" fontId="4" fillId="27" borderId="28" xfId="0" applyFont="1" applyFill="1" applyBorder="1" applyAlignment="1">
      <alignment horizontal="left" vertical="center" wrapText="1"/>
    </xf>
    <xf numFmtId="0" fontId="4" fillId="27" borderId="58" xfId="0" applyFont="1" applyFill="1" applyBorder="1" applyAlignment="1">
      <alignment horizontal="left" vertical="center" wrapText="1"/>
    </xf>
    <xf numFmtId="0" fontId="3" fillId="27" borderId="27" xfId="0" applyFont="1" applyFill="1" applyBorder="1" applyAlignment="1">
      <alignment horizontal="left" vertical="center" wrapText="1"/>
    </xf>
    <xf numFmtId="0" fontId="3" fillId="27" borderId="28" xfId="0" applyFont="1" applyFill="1" applyBorder="1" applyAlignment="1">
      <alignment horizontal="left" vertical="center" wrapText="1"/>
    </xf>
    <xf numFmtId="0" fontId="3" fillId="27" borderId="58" xfId="0" applyFont="1" applyFill="1" applyBorder="1" applyAlignment="1">
      <alignment horizontal="left" vertical="center" wrapText="1"/>
    </xf>
    <xf numFmtId="0" fontId="3" fillId="27" borderId="29" xfId="0" applyFont="1" applyFill="1" applyBorder="1" applyAlignment="1">
      <alignment horizontal="left" vertical="center" wrapText="1"/>
    </xf>
    <xf numFmtId="0" fontId="3" fillId="22" borderId="12"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1" xfId="1" applyFont="1" applyFill="1" applyBorder="1" applyAlignment="1" applyProtection="1">
      <alignment horizontal="center" vertical="center"/>
      <protection locked="0"/>
    </xf>
    <xf numFmtId="0" fontId="6" fillId="0" borderId="15" xfId="1" applyFont="1" applyFill="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0" fillId="11" borderId="40" xfId="0" applyFill="1" applyBorder="1" applyAlignment="1">
      <alignment wrapText="1"/>
    </xf>
    <xf numFmtId="0" fontId="2" fillId="9" borderId="40" xfId="0" applyFont="1" applyFill="1" applyBorder="1" applyAlignment="1">
      <alignment horizontal="center" vertical="center"/>
    </xf>
    <xf numFmtId="0" fontId="5" fillId="15" borderId="62" xfId="1" applyFont="1" applyFill="1" applyBorder="1" applyAlignment="1">
      <alignment horizontal="center" vertical="center"/>
    </xf>
    <xf numFmtId="0" fontId="5" fillId="0" borderId="2" xfId="1" applyFont="1" applyFill="1" applyBorder="1" applyAlignment="1">
      <alignment horizontal="center" vertical="center"/>
    </xf>
    <xf numFmtId="0" fontId="4" fillId="0" borderId="0" xfId="0" applyFont="1" applyFill="1" applyAlignment="1">
      <alignment vertical="center"/>
    </xf>
    <xf numFmtId="0" fontId="5" fillId="0" borderId="62" xfId="1" applyFont="1" applyFill="1" applyBorder="1" applyAlignment="1">
      <alignment horizontal="center" vertical="center"/>
    </xf>
    <xf numFmtId="0" fontId="5" fillId="0" borderId="62" xfId="0" applyFont="1" applyFill="1" applyBorder="1" applyAlignment="1">
      <alignment horizontal="center" vertical="center"/>
    </xf>
    <xf numFmtId="0" fontId="3" fillId="14" borderId="1" xfId="0" applyFont="1" applyFill="1" applyBorder="1" applyAlignment="1">
      <alignment horizontal="left" vertical="center" wrapText="1"/>
    </xf>
    <xf numFmtId="0" fontId="3" fillId="14" borderId="15" xfId="0" applyFont="1" applyFill="1" applyBorder="1" applyAlignment="1">
      <alignment horizontal="left" vertical="center" wrapText="1"/>
    </xf>
    <xf numFmtId="0" fontId="5" fillId="0" borderId="55" xfId="0" applyFont="1" applyBorder="1" applyAlignment="1">
      <alignment horizontal="center" vertical="center"/>
    </xf>
    <xf numFmtId="0" fontId="5" fillId="0" borderId="67" xfId="0" applyFont="1" applyBorder="1" applyAlignment="1">
      <alignment horizontal="center" vertical="center"/>
    </xf>
    <xf numFmtId="0" fontId="3" fillId="14" borderId="7" xfId="0" applyFont="1" applyFill="1" applyBorder="1" applyAlignment="1">
      <alignment horizontal="left" vertical="center" wrapText="1"/>
    </xf>
    <xf numFmtId="0" fontId="9" fillId="0" borderId="13" xfId="0" applyFont="1" applyBorder="1" applyAlignment="1">
      <alignment horizontal="center" vertical="center"/>
    </xf>
    <xf numFmtId="0" fontId="9" fillId="0" borderId="45"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11" fillId="0" borderId="40" xfId="0" applyFont="1" applyBorder="1" applyAlignment="1">
      <alignment horizontal="center" vertical="center"/>
    </xf>
    <xf numFmtId="0" fontId="6" fillId="0" borderId="1" xfId="1" applyFont="1" applyFill="1" applyBorder="1" applyAlignment="1">
      <alignment horizontal="center" vertical="center"/>
    </xf>
    <xf numFmtId="0" fontId="6" fillId="0" borderId="7" xfId="0" applyFont="1" applyFill="1" applyBorder="1" applyAlignment="1">
      <alignment horizontal="center" vertical="center"/>
    </xf>
    <xf numFmtId="0" fontId="6" fillId="15" borderId="7"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7" xfId="1" applyFont="1" applyFill="1" applyBorder="1" applyAlignment="1">
      <alignment horizontal="center" vertical="center"/>
    </xf>
    <xf numFmtId="0" fontId="7" fillId="31" borderId="36" xfId="0" applyFont="1" applyFill="1" applyBorder="1" applyAlignment="1">
      <alignment horizontal="center" vertical="center" wrapText="1"/>
    </xf>
    <xf numFmtId="0" fontId="6" fillId="15" borderId="1" xfId="1" applyFont="1" applyFill="1" applyBorder="1" applyAlignment="1">
      <alignment horizontal="center" vertical="center"/>
    </xf>
    <xf numFmtId="0" fontId="6" fillId="15" borderId="15" xfId="1" applyFont="1" applyFill="1" applyBorder="1" applyAlignment="1">
      <alignment horizontal="center" vertical="center"/>
    </xf>
    <xf numFmtId="0" fontId="6" fillId="0" borderId="7" xfId="0" applyFont="1" applyBorder="1" applyAlignment="1">
      <alignment horizontal="center" vertical="center"/>
    </xf>
    <xf numFmtId="0" fontId="6" fillId="15" borderId="1" xfId="0" applyFont="1" applyFill="1" applyBorder="1" applyAlignment="1">
      <alignment horizontal="center" vertical="center"/>
    </xf>
    <xf numFmtId="0" fontId="6" fillId="15" borderId="7" xfId="0" applyFont="1" applyFill="1" applyBorder="1" applyAlignment="1">
      <alignment horizontal="center" vertical="center"/>
    </xf>
    <xf numFmtId="0" fontId="3" fillId="8" borderId="26" xfId="0" applyFont="1" applyFill="1" applyBorder="1" applyAlignment="1">
      <alignment horizontal="left" vertical="center" wrapText="1"/>
    </xf>
    <xf numFmtId="0" fontId="4" fillId="31" borderId="59" xfId="0" applyFont="1" applyFill="1" applyBorder="1" applyAlignment="1">
      <alignment horizontal="center" vertical="center"/>
    </xf>
    <xf numFmtId="0" fontId="4" fillId="31" borderId="61" xfId="0" applyFont="1" applyFill="1" applyBorder="1" applyAlignment="1">
      <alignment horizontal="center" vertical="center"/>
    </xf>
    <xf numFmtId="0" fontId="4" fillId="0" borderId="5" xfId="0" applyFont="1" applyBorder="1" applyAlignment="1">
      <alignment horizontal="center" vertical="center"/>
    </xf>
    <xf numFmtId="0" fontId="4" fillId="0" borderId="41"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41"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6" borderId="66" xfId="0" applyFont="1" applyFill="1" applyBorder="1" applyAlignment="1">
      <alignment horizontal="center" vertical="center"/>
    </xf>
    <xf numFmtId="0" fontId="4" fillId="6" borderId="67" xfId="0" applyFont="1" applyFill="1" applyBorder="1" applyAlignment="1">
      <alignment horizontal="center" vertical="center"/>
    </xf>
    <xf numFmtId="0" fontId="4" fillId="9" borderId="66" xfId="0" applyFont="1" applyFill="1" applyBorder="1" applyAlignment="1">
      <alignment horizontal="center" vertical="center"/>
    </xf>
    <xf numFmtId="0" fontId="4" fillId="9" borderId="67" xfId="0" applyFont="1" applyFill="1" applyBorder="1" applyAlignment="1">
      <alignment horizontal="center" vertical="center"/>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9" borderId="66" xfId="0" applyFont="1" applyFill="1" applyBorder="1" applyAlignment="1">
      <alignment horizontal="center" vertical="center"/>
    </xf>
    <xf numFmtId="0" fontId="4" fillId="19" borderId="67" xfId="0" applyFont="1" applyFill="1" applyBorder="1" applyAlignment="1">
      <alignment horizontal="center" vertical="center"/>
    </xf>
    <xf numFmtId="0" fontId="4" fillId="16" borderId="66" xfId="0" applyFont="1" applyFill="1" applyBorder="1" applyAlignment="1">
      <alignment horizontal="center" vertical="center"/>
    </xf>
    <xf numFmtId="0" fontId="4" fillId="16" borderId="67" xfId="0" applyFont="1" applyFill="1" applyBorder="1" applyAlignment="1">
      <alignment horizontal="center" vertical="center"/>
    </xf>
    <xf numFmtId="0" fontId="4" fillId="0" borderId="68" xfId="0" applyFont="1" applyBorder="1" applyAlignment="1" applyProtection="1">
      <alignment horizontal="center" vertical="center"/>
      <protection locked="0"/>
    </xf>
    <xf numFmtId="0" fontId="4" fillId="31" borderId="69" xfId="0" applyFont="1" applyFill="1" applyBorder="1" applyAlignment="1">
      <alignment horizontal="center" vertical="center"/>
    </xf>
    <xf numFmtId="0" fontId="3" fillId="21" borderId="41" xfId="0" applyFont="1" applyFill="1" applyBorder="1" applyAlignment="1">
      <alignment horizontal="left" vertical="center" wrapText="1"/>
    </xf>
    <xf numFmtId="0" fontId="3" fillId="21" borderId="42" xfId="0" applyFont="1" applyFill="1" applyBorder="1" applyAlignment="1">
      <alignment horizontal="left" vertical="center" wrapText="1"/>
    </xf>
    <xf numFmtId="0" fontId="3" fillId="14" borderId="42"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3" fillId="14" borderId="41" xfId="0" applyFont="1" applyFill="1" applyBorder="1" applyAlignment="1">
      <alignment horizontal="left" vertical="center" wrapText="1"/>
    </xf>
    <xf numFmtId="0" fontId="3" fillId="8" borderId="63" xfId="0" applyFont="1" applyFill="1" applyBorder="1" applyAlignment="1">
      <alignment horizontal="left" vertical="center" wrapText="1"/>
    </xf>
    <xf numFmtId="0" fontId="3" fillId="8" borderId="64" xfId="0" applyFont="1" applyFill="1" applyBorder="1" applyAlignment="1">
      <alignment horizontal="left" vertical="center" wrapText="1"/>
    </xf>
    <xf numFmtId="0" fontId="3" fillId="8" borderId="65" xfId="0" applyFont="1" applyFill="1" applyBorder="1" applyAlignment="1">
      <alignment horizontal="left" vertical="center" wrapText="1"/>
    </xf>
    <xf numFmtId="0" fontId="13" fillId="23" borderId="39" xfId="0" applyFont="1" applyFill="1" applyBorder="1" applyAlignment="1">
      <alignment horizontal="left" vertical="center" wrapText="1"/>
    </xf>
    <xf numFmtId="0" fontId="13" fillId="23" borderId="39" xfId="0" applyFont="1" applyFill="1" applyBorder="1" applyAlignment="1">
      <alignment horizontal="center" vertical="center"/>
    </xf>
    <xf numFmtId="0" fontId="4" fillId="22" borderId="39" xfId="0" applyFont="1" applyFill="1" applyBorder="1" applyAlignment="1">
      <alignment horizontal="left" vertical="center" wrapText="1"/>
    </xf>
    <xf numFmtId="0" fontId="4" fillId="22" borderId="39" xfId="0" applyFont="1" applyFill="1" applyBorder="1" applyAlignment="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5" xfId="0" applyFont="1" applyBorder="1" applyAlignment="1" applyProtection="1">
      <alignment horizontal="center" vertical="center"/>
    </xf>
    <xf numFmtId="0" fontId="3" fillId="13" borderId="2"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3" fillId="3" borderId="4"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6" xfId="0" applyFont="1" applyFill="1" applyBorder="1" applyAlignment="1">
      <alignment horizontal="right" vertical="center" wrapText="1"/>
    </xf>
    <xf numFmtId="0" fontId="3" fillId="3" borderId="17"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6" borderId="4" xfId="0" applyFont="1" applyFill="1" applyBorder="1" applyAlignment="1">
      <alignment horizontal="right" vertical="center" wrapText="1"/>
    </xf>
    <xf numFmtId="0" fontId="3" fillId="6" borderId="5" xfId="0" applyFont="1" applyFill="1" applyBorder="1" applyAlignment="1">
      <alignment horizontal="right" vertical="center" wrapText="1"/>
    </xf>
    <xf numFmtId="0" fontId="3" fillId="6" borderId="6" xfId="0" applyFont="1" applyFill="1" applyBorder="1" applyAlignment="1">
      <alignment horizontal="right" vertical="center" wrapText="1"/>
    </xf>
    <xf numFmtId="0" fontId="3" fillId="6" borderId="16" xfId="0" applyFont="1" applyFill="1" applyBorder="1" applyAlignment="1">
      <alignment horizontal="right" vertical="center" wrapText="1"/>
    </xf>
    <xf numFmtId="0" fontId="3" fillId="6" borderId="17" xfId="0" applyFont="1" applyFill="1" applyBorder="1" applyAlignment="1">
      <alignment horizontal="right" vertical="center" wrapText="1"/>
    </xf>
    <xf numFmtId="0" fontId="3" fillId="6" borderId="18" xfId="0" applyFont="1" applyFill="1" applyBorder="1" applyAlignment="1">
      <alignment horizontal="right" vertical="center" wrapText="1"/>
    </xf>
    <xf numFmtId="0" fontId="3" fillId="9" borderId="4" xfId="0" applyFont="1" applyFill="1" applyBorder="1" applyAlignment="1">
      <alignment horizontal="right" vertical="center" wrapText="1"/>
    </xf>
    <xf numFmtId="0" fontId="3" fillId="9" borderId="5" xfId="0" applyFont="1" applyFill="1" applyBorder="1" applyAlignment="1">
      <alignment horizontal="right" vertical="center" wrapText="1"/>
    </xf>
    <xf numFmtId="0" fontId="3" fillId="9" borderId="6" xfId="0" applyFont="1" applyFill="1" applyBorder="1" applyAlignment="1">
      <alignment horizontal="right" vertical="center" wrapText="1"/>
    </xf>
    <xf numFmtId="0" fontId="3" fillId="9" borderId="16" xfId="0" applyFont="1" applyFill="1" applyBorder="1" applyAlignment="1">
      <alignment horizontal="right" vertical="center" wrapText="1"/>
    </xf>
    <xf numFmtId="0" fontId="3" fillId="9" borderId="17" xfId="0" applyFont="1" applyFill="1" applyBorder="1" applyAlignment="1">
      <alignment horizontal="right" vertical="center" wrapText="1"/>
    </xf>
    <xf numFmtId="0" fontId="3" fillId="9" borderId="18" xfId="0" applyFont="1" applyFill="1" applyBorder="1" applyAlignment="1">
      <alignment horizontal="right" vertical="center" wrapText="1"/>
    </xf>
    <xf numFmtId="0" fontId="3" fillId="12" borderId="4" xfId="0" applyFont="1" applyFill="1" applyBorder="1" applyAlignment="1">
      <alignment horizontal="right" vertical="center" wrapText="1"/>
    </xf>
    <xf numFmtId="0" fontId="3" fillId="12" borderId="5" xfId="0" applyFont="1" applyFill="1" applyBorder="1" applyAlignment="1">
      <alignment horizontal="right" vertical="center" wrapText="1"/>
    </xf>
    <xf numFmtId="0" fontId="3" fillId="12" borderId="6" xfId="0" applyFont="1" applyFill="1" applyBorder="1" applyAlignment="1">
      <alignment horizontal="right" vertical="center" wrapText="1"/>
    </xf>
    <xf numFmtId="0" fontId="3" fillId="12" borderId="16" xfId="0" applyFont="1" applyFill="1" applyBorder="1" applyAlignment="1">
      <alignment horizontal="right" vertical="center" wrapText="1"/>
    </xf>
    <xf numFmtId="0" fontId="3" fillId="12" borderId="17" xfId="0" applyFont="1" applyFill="1" applyBorder="1" applyAlignment="1">
      <alignment horizontal="right" vertical="center" wrapText="1"/>
    </xf>
    <xf numFmtId="0" fontId="3" fillId="12" borderId="18" xfId="0" applyFont="1" applyFill="1" applyBorder="1" applyAlignment="1">
      <alignment horizontal="right" vertical="center" wrapText="1"/>
    </xf>
    <xf numFmtId="0" fontId="2" fillId="19" borderId="1" xfId="0" applyFont="1" applyFill="1" applyBorder="1" applyAlignment="1">
      <alignment horizontal="center" vertical="center"/>
    </xf>
    <xf numFmtId="0" fontId="2" fillId="19" borderId="7" xfId="0" applyFont="1" applyFill="1" applyBorder="1" applyAlignment="1">
      <alignment horizontal="center" vertical="center"/>
    </xf>
    <xf numFmtId="0" fontId="2" fillId="19" borderId="33" xfId="0" applyFont="1" applyFill="1" applyBorder="1" applyAlignment="1">
      <alignment horizontal="center" vertical="center"/>
    </xf>
    <xf numFmtId="0" fontId="3" fillId="20" borderId="27" xfId="0" applyFont="1" applyFill="1" applyBorder="1" applyAlignment="1">
      <alignment horizontal="left" vertical="center" wrapText="1"/>
    </xf>
    <xf numFmtId="0" fontId="3" fillId="20" borderId="29" xfId="0" applyFont="1" applyFill="1" applyBorder="1" applyAlignment="1">
      <alignment horizontal="left" vertical="center" wrapText="1"/>
    </xf>
    <xf numFmtId="0" fontId="2" fillId="16" borderId="1"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15" xfId="0" applyFont="1" applyFill="1" applyBorder="1" applyAlignment="1">
      <alignment horizontal="center" vertical="center"/>
    </xf>
    <xf numFmtId="0" fontId="3" fillId="17" borderId="2" xfId="0" applyFont="1" applyFill="1" applyBorder="1" applyAlignment="1">
      <alignment horizontal="left" vertical="center" wrapText="1"/>
    </xf>
    <xf numFmtId="0" fontId="3" fillId="17" borderId="8" xfId="0" applyFont="1" applyFill="1" applyBorder="1" applyAlignment="1">
      <alignment horizontal="left" vertical="center" wrapText="1"/>
    </xf>
    <xf numFmtId="0" fontId="3" fillId="17" borderId="11" xfId="0" applyFont="1" applyFill="1" applyBorder="1" applyAlignment="1">
      <alignment horizontal="left" vertical="center" wrapText="1"/>
    </xf>
    <xf numFmtId="0" fontId="3" fillId="16" borderId="4" xfId="0" applyFont="1" applyFill="1" applyBorder="1" applyAlignment="1">
      <alignment horizontal="right" vertical="center" wrapText="1"/>
    </xf>
    <xf numFmtId="0" fontId="3" fillId="16" borderId="5" xfId="0" applyFont="1" applyFill="1" applyBorder="1" applyAlignment="1">
      <alignment horizontal="right" vertical="center" wrapText="1"/>
    </xf>
    <xf numFmtId="0" fontId="3" fillId="16" borderId="6" xfId="0" applyFont="1" applyFill="1" applyBorder="1" applyAlignment="1">
      <alignment horizontal="right" vertical="center" wrapText="1"/>
    </xf>
    <xf numFmtId="0" fontId="3" fillId="16" borderId="16" xfId="0" applyFont="1" applyFill="1" applyBorder="1" applyAlignment="1">
      <alignment horizontal="right" vertical="center" wrapText="1"/>
    </xf>
    <xf numFmtId="0" fontId="3" fillId="16" borderId="17" xfId="0" applyFont="1" applyFill="1" applyBorder="1" applyAlignment="1">
      <alignment horizontal="right" vertical="center" wrapText="1"/>
    </xf>
    <xf numFmtId="0" fontId="3" fillId="16" borderId="18" xfId="0" applyFont="1" applyFill="1" applyBorder="1" applyAlignment="1">
      <alignment horizontal="right" vertical="center" wrapText="1"/>
    </xf>
    <xf numFmtId="0" fontId="3" fillId="19" borderId="4" xfId="0" applyFont="1" applyFill="1" applyBorder="1" applyAlignment="1">
      <alignment horizontal="right" vertical="center" wrapText="1"/>
    </xf>
    <xf numFmtId="0" fontId="3" fillId="19" borderId="5" xfId="0" applyFont="1" applyFill="1" applyBorder="1" applyAlignment="1">
      <alignment horizontal="right" vertical="center" wrapText="1"/>
    </xf>
    <xf numFmtId="0" fontId="3" fillId="19" borderId="6" xfId="0" applyFont="1" applyFill="1" applyBorder="1" applyAlignment="1">
      <alignment horizontal="right" vertical="center" wrapText="1"/>
    </xf>
    <xf numFmtId="0" fontId="3" fillId="19" borderId="16" xfId="0" applyFont="1" applyFill="1" applyBorder="1" applyAlignment="1">
      <alignment horizontal="right" vertical="center" wrapText="1"/>
    </xf>
    <xf numFmtId="0" fontId="3" fillId="19" borderId="17" xfId="0" applyFont="1" applyFill="1" applyBorder="1" applyAlignment="1">
      <alignment horizontal="right" vertical="center" wrapText="1"/>
    </xf>
    <xf numFmtId="0" fontId="3" fillId="19" borderId="18" xfId="0" applyFont="1" applyFill="1" applyBorder="1" applyAlignment="1">
      <alignment horizontal="right" vertical="center" wrapText="1"/>
    </xf>
    <xf numFmtId="0" fontId="2" fillId="9" borderId="1" xfId="0" applyFont="1" applyFill="1" applyBorder="1" applyAlignment="1">
      <alignment horizontal="center" vertical="center"/>
    </xf>
    <xf numFmtId="0" fontId="2" fillId="9" borderId="7" xfId="0" applyFont="1" applyFill="1" applyBorder="1" applyAlignment="1">
      <alignment horizontal="center" vertical="center"/>
    </xf>
    <xf numFmtId="0" fontId="2" fillId="9" borderId="15" xfId="0" applyFont="1" applyFill="1" applyBorder="1" applyAlignment="1">
      <alignment horizontal="center" vertical="center"/>
    </xf>
    <xf numFmtId="0" fontId="3" fillId="10" borderId="2"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3" fillId="0" borderId="9" xfId="0" applyFont="1" applyBorder="1" applyAlignment="1">
      <alignment horizontal="center" vertical="center"/>
    </xf>
    <xf numFmtId="0" fontId="3" fillId="0" borderId="55" xfId="0" applyFont="1" applyBorder="1" applyAlignment="1">
      <alignment horizontal="center" vertical="center"/>
    </xf>
    <xf numFmtId="0" fontId="3" fillId="11" borderId="56" xfId="0" applyFont="1" applyFill="1" applyBorder="1" applyAlignment="1">
      <alignment horizontal="center" vertical="center" wrapText="1"/>
    </xf>
    <xf numFmtId="0" fontId="3" fillId="11" borderId="57"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5" xfId="0" applyFont="1" applyFill="1" applyBorder="1" applyAlignment="1">
      <alignment horizontal="center" vertical="center"/>
    </xf>
    <xf numFmtId="0" fontId="3" fillId="4" borderId="5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5" xfId="0" applyFont="1" applyFill="1" applyBorder="1" applyAlignment="1">
      <alignment horizontal="center" vertical="center"/>
    </xf>
    <xf numFmtId="0" fontId="3" fillId="7" borderId="2"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53" xfId="0" applyFont="1" applyFill="1" applyBorder="1" applyAlignment="1">
      <alignment horizontal="left" vertical="center" wrapText="1"/>
    </xf>
    <xf numFmtId="0" fontId="2" fillId="12" borderId="27" xfId="0" applyFont="1" applyFill="1" applyBorder="1" applyAlignment="1">
      <alignment horizontal="center" vertical="center"/>
    </xf>
    <xf numFmtId="0" fontId="2" fillId="12" borderId="50" xfId="0" applyFont="1" applyFill="1" applyBorder="1" applyAlignment="1">
      <alignment horizontal="center" vertical="center"/>
    </xf>
    <xf numFmtId="0" fontId="2" fillId="12" borderId="7" xfId="0" applyFont="1" applyFill="1" applyBorder="1" applyAlignment="1">
      <alignment horizontal="center" vertical="center"/>
    </xf>
    <xf numFmtId="0" fontId="2" fillId="12" borderId="15" xfId="0" applyFont="1" applyFill="1" applyBorder="1" applyAlignment="1">
      <alignment horizontal="center" vertical="center"/>
    </xf>
    <xf numFmtId="0" fontId="3" fillId="13" borderId="53" xfId="0" applyFont="1" applyFill="1" applyBorder="1" applyAlignment="1">
      <alignment horizontal="left" vertical="center" wrapText="1"/>
    </xf>
    <xf numFmtId="0" fontId="3" fillId="13" borderId="8" xfId="0" applyFont="1" applyFill="1" applyBorder="1" applyAlignment="1">
      <alignment horizontal="left" vertical="center" wrapText="1"/>
    </xf>
    <xf numFmtId="0" fontId="3" fillId="10" borderId="27" xfId="0" applyFont="1" applyFill="1" applyBorder="1" applyAlignment="1">
      <alignment horizontal="left" vertical="center" wrapText="1"/>
    </xf>
    <xf numFmtId="0" fontId="3" fillId="10" borderId="28"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4" fillId="11" borderId="4" xfId="0" applyFont="1" applyFill="1" applyBorder="1" applyAlignment="1">
      <alignment horizontal="right" vertical="center" wrapText="1"/>
    </xf>
    <xf numFmtId="0" fontId="4" fillId="11" borderId="5" xfId="0" applyFont="1" applyFill="1" applyBorder="1" applyAlignment="1">
      <alignment horizontal="right" vertical="center" wrapText="1"/>
    </xf>
    <xf numFmtId="0" fontId="4" fillId="11" borderId="16" xfId="0" applyFont="1" applyFill="1" applyBorder="1" applyAlignment="1">
      <alignment horizontal="right" vertical="center" wrapText="1"/>
    </xf>
    <xf numFmtId="0" fontId="4" fillId="11" borderId="17" xfId="0" applyFont="1" applyFill="1" applyBorder="1" applyAlignment="1">
      <alignment horizontal="right" vertical="center" wrapText="1"/>
    </xf>
    <xf numFmtId="0" fontId="2" fillId="24" borderId="1" xfId="0" applyFont="1" applyFill="1" applyBorder="1" applyAlignment="1">
      <alignment horizontal="center" vertical="center"/>
    </xf>
    <xf numFmtId="0" fontId="2" fillId="24" borderId="7" xfId="0" applyFont="1" applyFill="1" applyBorder="1" applyAlignment="1">
      <alignment horizontal="center" vertical="center"/>
    </xf>
    <xf numFmtId="0" fontId="2" fillId="24" borderId="33" xfId="0" applyFont="1" applyFill="1" applyBorder="1" applyAlignment="1">
      <alignment horizontal="center" vertical="center"/>
    </xf>
    <xf numFmtId="0" fontId="2" fillId="24" borderId="15" xfId="0" applyFont="1" applyFill="1" applyBorder="1" applyAlignment="1">
      <alignment horizontal="center" vertical="center"/>
    </xf>
    <xf numFmtId="0" fontId="3" fillId="23" borderId="2" xfId="0" applyFont="1" applyFill="1" applyBorder="1" applyAlignment="1">
      <alignment horizontal="left" vertical="center" wrapText="1"/>
    </xf>
    <xf numFmtId="0" fontId="3" fillId="23" borderId="8" xfId="0" applyFont="1" applyFill="1" applyBorder="1" applyAlignment="1">
      <alignment horizontal="left" vertical="center" wrapText="1"/>
    </xf>
    <xf numFmtId="0" fontId="3" fillId="23" borderId="11" xfId="0" applyFont="1" applyFill="1" applyBorder="1" applyAlignment="1">
      <alignment horizontal="left" vertical="center" wrapText="1"/>
    </xf>
    <xf numFmtId="0" fontId="3" fillId="23" borderId="19" xfId="0" applyFont="1" applyFill="1" applyBorder="1" applyAlignment="1">
      <alignment horizontal="left" vertical="center" wrapText="1"/>
    </xf>
    <xf numFmtId="0" fontId="3" fillId="23" borderId="21" xfId="0" applyFont="1" applyFill="1" applyBorder="1" applyAlignment="1">
      <alignment horizontal="left" vertical="center" wrapText="1"/>
    </xf>
    <xf numFmtId="0" fontId="3" fillId="23" borderId="30" xfId="0" applyFont="1" applyFill="1" applyBorder="1" applyAlignment="1">
      <alignment horizontal="left" vertical="center" wrapText="1"/>
    </xf>
    <xf numFmtId="0" fontId="3" fillId="17" borderId="36" xfId="0" applyFont="1" applyFill="1" applyBorder="1" applyAlignment="1">
      <alignment horizontal="left" vertical="center" wrapText="1"/>
    </xf>
    <xf numFmtId="0" fontId="3" fillId="17" borderId="37" xfId="0" applyFont="1" applyFill="1" applyBorder="1" applyAlignment="1">
      <alignment horizontal="left" vertical="center" wrapText="1"/>
    </xf>
    <xf numFmtId="0" fontId="3" fillId="17" borderId="38" xfId="0" applyFont="1" applyFill="1" applyBorder="1" applyAlignment="1">
      <alignment horizontal="left" vertical="center" wrapText="1"/>
    </xf>
    <xf numFmtId="0" fontId="4" fillId="22" borderId="4" xfId="0" applyFont="1" applyFill="1" applyBorder="1" applyAlignment="1">
      <alignment horizontal="right" vertical="center" wrapText="1"/>
    </xf>
    <xf numFmtId="0" fontId="4" fillId="22" borderId="0" xfId="0" applyFont="1" applyFill="1" applyBorder="1" applyAlignment="1">
      <alignment horizontal="right" vertical="center" wrapText="1"/>
    </xf>
    <xf numFmtId="0" fontId="4" fillId="22" borderId="16" xfId="0" applyFont="1" applyFill="1" applyBorder="1" applyAlignment="1">
      <alignment horizontal="right" vertical="center" wrapText="1"/>
    </xf>
    <xf numFmtId="0" fontId="4" fillId="22" borderId="17" xfId="0" applyFont="1" applyFill="1" applyBorder="1" applyAlignment="1">
      <alignment horizontal="right" vertical="center" wrapText="1"/>
    </xf>
    <xf numFmtId="0" fontId="2" fillId="25" borderId="1" xfId="0" applyFont="1" applyFill="1" applyBorder="1" applyAlignment="1">
      <alignment horizontal="center" vertical="center"/>
    </xf>
    <xf numFmtId="0" fontId="2" fillId="25" borderId="35" xfId="0" applyFont="1" applyFill="1" applyBorder="1" applyAlignment="1">
      <alignment horizontal="center" vertical="center"/>
    </xf>
    <xf numFmtId="0" fontId="2" fillId="25" borderId="7" xfId="0" applyFont="1" applyFill="1" applyBorder="1" applyAlignment="1">
      <alignment horizontal="center" vertical="center"/>
    </xf>
    <xf numFmtId="0" fontId="3" fillId="26" borderId="4" xfId="0" applyFont="1" applyFill="1" applyBorder="1" applyAlignment="1">
      <alignment horizontal="left" vertical="center" wrapText="1"/>
    </xf>
    <xf numFmtId="0" fontId="3" fillId="26" borderId="10" xfId="0" applyFont="1" applyFill="1" applyBorder="1" applyAlignment="1">
      <alignment horizontal="left" vertical="center" wrapText="1"/>
    </xf>
    <xf numFmtId="0" fontId="3" fillId="26" borderId="16" xfId="0" applyFont="1" applyFill="1" applyBorder="1" applyAlignment="1">
      <alignment horizontal="left" vertical="center" wrapText="1"/>
    </xf>
    <xf numFmtId="0" fontId="4" fillId="21" borderId="4" xfId="0" applyFont="1" applyFill="1" applyBorder="1" applyAlignment="1">
      <alignment horizontal="right" vertical="center" wrapText="1"/>
    </xf>
    <xf numFmtId="0" fontId="4" fillId="21" borderId="5" xfId="0" applyFont="1" applyFill="1" applyBorder="1" applyAlignment="1">
      <alignment horizontal="right" vertical="center" wrapText="1"/>
    </xf>
    <xf numFmtId="0" fontId="4" fillId="21" borderId="16" xfId="0" applyFont="1" applyFill="1" applyBorder="1" applyAlignment="1">
      <alignment horizontal="right" vertical="center" wrapText="1"/>
    </xf>
    <xf numFmtId="0" fontId="4" fillId="21" borderId="17" xfId="0" applyFont="1" applyFill="1" applyBorder="1" applyAlignment="1">
      <alignment horizontal="right" vertical="center" wrapText="1"/>
    </xf>
    <xf numFmtId="0" fontId="3" fillId="11" borderId="56" xfId="0" applyFont="1" applyFill="1" applyBorder="1" applyAlignment="1">
      <alignment horizontal="center" vertical="center"/>
    </xf>
    <xf numFmtId="0" fontId="3" fillId="11" borderId="57" xfId="0" applyFont="1" applyFill="1" applyBorder="1" applyAlignment="1">
      <alignment horizontal="center" vertical="center"/>
    </xf>
    <xf numFmtId="0" fontId="4" fillId="18" borderId="4" xfId="0" applyFont="1" applyFill="1" applyBorder="1" applyAlignment="1">
      <alignment horizontal="right" vertical="center" wrapText="1"/>
    </xf>
    <xf numFmtId="0" fontId="4" fillId="18" borderId="5" xfId="0" applyFont="1" applyFill="1" applyBorder="1" applyAlignment="1">
      <alignment horizontal="right" vertical="center" wrapText="1"/>
    </xf>
    <xf numFmtId="0" fontId="4" fillId="18" borderId="50" xfId="0" applyFont="1" applyFill="1" applyBorder="1" applyAlignment="1">
      <alignment horizontal="right" vertical="center" wrapText="1"/>
    </xf>
    <xf numFmtId="0" fontId="4" fillId="18" borderId="51" xfId="0" applyFont="1" applyFill="1" applyBorder="1" applyAlignment="1">
      <alignment horizontal="right" vertical="center" wrapText="1"/>
    </xf>
    <xf numFmtId="0" fontId="2" fillId="30" borderId="1" xfId="0" applyFont="1" applyFill="1" applyBorder="1" applyAlignment="1">
      <alignment horizontal="center" vertical="center"/>
    </xf>
    <xf numFmtId="0" fontId="2" fillId="30" borderId="7" xfId="0" applyFont="1" applyFill="1" applyBorder="1" applyAlignment="1">
      <alignment horizontal="center" vertical="center"/>
    </xf>
    <xf numFmtId="0" fontId="2" fillId="30" borderId="15" xfId="0" applyFont="1" applyFill="1" applyBorder="1" applyAlignment="1">
      <alignment horizontal="center" vertical="center"/>
    </xf>
    <xf numFmtId="0" fontId="3" fillId="29" borderId="4" xfId="0" applyFont="1" applyFill="1" applyBorder="1" applyAlignment="1">
      <alignment horizontal="left" vertical="center" wrapText="1"/>
    </xf>
    <xf numFmtId="0" fontId="3" fillId="29" borderId="10" xfId="0" applyFont="1" applyFill="1" applyBorder="1" applyAlignment="1">
      <alignment horizontal="left" vertical="center" wrapText="1"/>
    </xf>
    <xf numFmtId="0" fontId="3" fillId="29" borderId="16" xfId="0" applyFont="1" applyFill="1" applyBorder="1" applyAlignment="1">
      <alignment horizontal="left" vertical="center" wrapText="1"/>
    </xf>
    <xf numFmtId="0" fontId="4" fillId="28" borderId="4" xfId="0" applyFont="1" applyFill="1" applyBorder="1" applyAlignment="1">
      <alignment horizontal="right" vertical="center" wrapText="1"/>
    </xf>
    <xf numFmtId="0" fontId="4" fillId="28" borderId="5" xfId="0" applyFont="1" applyFill="1" applyBorder="1" applyAlignment="1">
      <alignment horizontal="right" vertical="center" wrapText="1"/>
    </xf>
    <xf numFmtId="0" fontId="4" fillId="28" borderId="0" xfId="0" applyFont="1" applyFill="1" applyBorder="1" applyAlignment="1">
      <alignment horizontal="right" vertical="center" wrapText="1"/>
    </xf>
    <xf numFmtId="0" fontId="4" fillId="28" borderId="16" xfId="0" applyFont="1" applyFill="1" applyBorder="1" applyAlignment="1">
      <alignment horizontal="right" vertical="center" wrapText="1"/>
    </xf>
    <xf numFmtId="0" fontId="4" fillId="28" borderId="17" xfId="0" applyFont="1" applyFill="1" applyBorder="1" applyAlignment="1">
      <alignment horizontal="right" vertical="center" wrapText="1"/>
    </xf>
    <xf numFmtId="0" fontId="2" fillId="19" borderId="36" xfId="0" applyFont="1" applyFill="1" applyBorder="1" applyAlignment="1">
      <alignment horizontal="center" vertical="center"/>
    </xf>
    <xf numFmtId="0" fontId="2" fillId="19" borderId="37" xfId="0" applyFont="1" applyFill="1" applyBorder="1" applyAlignment="1">
      <alignment horizontal="center" vertical="center"/>
    </xf>
    <xf numFmtId="0" fontId="2" fillId="19" borderId="38" xfId="0" applyFont="1" applyFill="1" applyBorder="1" applyAlignment="1">
      <alignment horizontal="center" vertical="center"/>
    </xf>
    <xf numFmtId="0" fontId="3" fillId="20" borderId="2" xfId="0" applyFont="1" applyFill="1" applyBorder="1" applyAlignment="1">
      <alignment horizontal="left" vertical="center" wrapText="1"/>
    </xf>
    <xf numFmtId="0" fontId="3" fillId="20" borderId="11" xfId="0" applyFont="1" applyFill="1" applyBorder="1" applyAlignment="1">
      <alignment horizontal="left" vertical="center" wrapText="1"/>
    </xf>
    <xf numFmtId="0" fontId="4" fillId="27" borderId="4" xfId="0" applyFont="1" applyFill="1" applyBorder="1" applyAlignment="1">
      <alignment horizontal="right" vertical="center" wrapText="1"/>
    </xf>
    <xf numFmtId="0" fontId="4" fillId="27" borderId="5" xfId="0" applyFont="1" applyFill="1" applyBorder="1" applyAlignment="1">
      <alignment horizontal="right" vertical="center" wrapText="1"/>
    </xf>
    <xf numFmtId="0" fontId="4" fillId="27" borderId="0" xfId="0" applyFont="1" applyFill="1" applyBorder="1" applyAlignment="1">
      <alignment horizontal="right" vertical="center" wrapText="1"/>
    </xf>
    <xf numFmtId="0" fontId="4" fillId="27" borderId="16" xfId="0" applyFont="1" applyFill="1" applyBorder="1" applyAlignment="1">
      <alignment horizontal="right" vertical="center" wrapText="1"/>
    </xf>
    <xf numFmtId="0" fontId="4" fillId="27" borderId="17" xfId="0" applyFont="1" applyFill="1" applyBorder="1" applyAlignment="1">
      <alignment horizontal="right" vertical="center" wrapText="1"/>
    </xf>
    <xf numFmtId="0" fontId="2" fillId="16" borderId="36" xfId="0" applyFont="1" applyFill="1" applyBorder="1" applyAlignment="1">
      <alignment horizontal="center" vertical="center"/>
    </xf>
    <xf numFmtId="0" fontId="2" fillId="16" borderId="37" xfId="0" applyFont="1" applyFill="1" applyBorder="1" applyAlignment="1">
      <alignment horizontal="center" vertical="center"/>
    </xf>
    <xf numFmtId="0" fontId="2" fillId="16" borderId="38" xfId="0" applyFont="1" applyFill="1" applyBorder="1" applyAlignment="1">
      <alignment horizontal="center" vertical="center"/>
    </xf>
    <xf numFmtId="0" fontId="3" fillId="17" borderId="4" xfId="0" applyFont="1" applyFill="1" applyBorder="1" applyAlignment="1">
      <alignment horizontal="left" vertical="center" wrapText="1"/>
    </xf>
    <xf numFmtId="0" fontId="3" fillId="17" borderId="10" xfId="0" applyFont="1" applyFill="1" applyBorder="1" applyAlignment="1">
      <alignment horizontal="left" vertical="center" wrapText="1"/>
    </xf>
    <xf numFmtId="0" fontId="9" fillId="0" borderId="56" xfId="0" applyFont="1" applyBorder="1" applyAlignment="1">
      <alignment horizontal="center" vertical="center"/>
    </xf>
    <xf numFmtId="0" fontId="9" fillId="0" borderId="54" xfId="0" applyFont="1" applyBorder="1" applyAlignment="1">
      <alignment horizontal="center" vertical="center"/>
    </xf>
    <xf numFmtId="0" fontId="9" fillId="0" borderId="57" xfId="0" applyFont="1" applyBorder="1" applyAlignment="1">
      <alignment horizontal="center" vertical="center"/>
    </xf>
    <xf numFmtId="0" fontId="3" fillId="31" borderId="1" xfId="0" applyFont="1" applyFill="1" applyBorder="1" applyAlignment="1">
      <alignment horizontal="center" vertical="center" wrapText="1"/>
    </xf>
    <xf numFmtId="0" fontId="3" fillId="31" borderId="15" xfId="0" applyFont="1" applyFill="1" applyBorder="1" applyAlignment="1">
      <alignment horizontal="center" vertical="center" wrapText="1"/>
    </xf>
    <xf numFmtId="0" fontId="3" fillId="31" borderId="27" xfId="0" applyFont="1" applyFill="1" applyBorder="1" applyAlignment="1">
      <alignment horizontal="center" vertical="center" wrapText="1"/>
    </xf>
    <xf numFmtId="0" fontId="3" fillId="31" borderId="29" xfId="0" applyFont="1" applyFill="1" applyBorder="1" applyAlignment="1">
      <alignment horizontal="center" vertical="center" wrapText="1"/>
    </xf>
    <xf numFmtId="0" fontId="4" fillId="18" borderId="6" xfId="0" applyFont="1" applyFill="1" applyBorder="1" applyAlignment="1">
      <alignment horizontal="right" vertical="center" wrapText="1"/>
    </xf>
    <xf numFmtId="0" fontId="4" fillId="18" borderId="16" xfId="0" applyFont="1" applyFill="1" applyBorder="1" applyAlignment="1">
      <alignment horizontal="right" vertical="center" wrapText="1"/>
    </xf>
    <xf numFmtId="0" fontId="4" fillId="18" borderId="17" xfId="0" applyFont="1" applyFill="1" applyBorder="1" applyAlignment="1">
      <alignment horizontal="right" vertical="center" wrapText="1"/>
    </xf>
    <xf numFmtId="0" fontId="4" fillId="18" borderId="18" xfId="0" applyFont="1" applyFill="1" applyBorder="1" applyAlignment="1">
      <alignment horizontal="right" vertical="center" wrapText="1"/>
    </xf>
    <xf numFmtId="0" fontId="2" fillId="19" borderId="15" xfId="0" applyFont="1" applyFill="1" applyBorder="1" applyAlignment="1">
      <alignment horizontal="center" vertical="center"/>
    </xf>
    <xf numFmtId="0" fontId="4" fillId="11" borderId="6" xfId="0" applyFont="1" applyFill="1" applyBorder="1" applyAlignment="1">
      <alignment horizontal="right" vertical="center" wrapText="1"/>
    </xf>
    <xf numFmtId="0" fontId="4" fillId="11" borderId="18" xfId="0" applyFont="1" applyFill="1" applyBorder="1" applyAlignment="1">
      <alignment horizontal="right" vertical="center" wrapText="1"/>
    </xf>
    <xf numFmtId="0" fontId="2" fillId="12" borderId="1" xfId="0" applyFont="1" applyFill="1" applyBorder="1" applyAlignment="1">
      <alignment horizontal="center" vertical="center"/>
    </xf>
    <xf numFmtId="0" fontId="2" fillId="12" borderId="35" xfId="0" applyFont="1" applyFill="1" applyBorder="1" applyAlignment="1">
      <alignment horizontal="center" vertical="center"/>
    </xf>
    <xf numFmtId="0" fontId="3" fillId="13" borderId="1"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3" fillId="13" borderId="15" xfId="0" applyFont="1" applyFill="1" applyBorder="1" applyAlignment="1">
      <alignment horizontal="left" vertical="center" wrapText="1"/>
    </xf>
    <xf numFmtId="0" fontId="4" fillId="14" borderId="4" xfId="0" applyFont="1" applyFill="1" applyBorder="1" applyAlignment="1">
      <alignment horizontal="right" vertical="center" wrapText="1"/>
    </xf>
    <xf numFmtId="0" fontId="4" fillId="14" borderId="5" xfId="0" applyFont="1" applyFill="1" applyBorder="1" applyAlignment="1">
      <alignment horizontal="right" vertical="center" wrapText="1"/>
    </xf>
    <xf numFmtId="0" fontId="4" fillId="14" borderId="6" xfId="0" applyFont="1" applyFill="1" applyBorder="1" applyAlignment="1">
      <alignment horizontal="right" vertical="center" wrapText="1"/>
    </xf>
    <xf numFmtId="0" fontId="4" fillId="14" borderId="16" xfId="0" applyFont="1" applyFill="1" applyBorder="1" applyAlignment="1">
      <alignment horizontal="right" vertical="center" wrapText="1"/>
    </xf>
    <xf numFmtId="0" fontId="4" fillId="14" borderId="17" xfId="0" applyFont="1" applyFill="1" applyBorder="1" applyAlignment="1">
      <alignment horizontal="right" vertical="center" wrapText="1"/>
    </xf>
    <xf numFmtId="0" fontId="4" fillId="14" borderId="18" xfId="0" applyFont="1" applyFill="1" applyBorder="1" applyAlignment="1">
      <alignment horizontal="right" vertical="center" wrapText="1"/>
    </xf>
    <xf numFmtId="0" fontId="4" fillId="21" borderId="6" xfId="0" applyFont="1" applyFill="1" applyBorder="1" applyAlignment="1">
      <alignment horizontal="right" vertical="center" wrapText="1"/>
    </xf>
    <xf numFmtId="0" fontId="4" fillId="21" borderId="18" xfId="0" applyFont="1" applyFill="1" applyBorder="1" applyAlignment="1">
      <alignment horizontal="right" vertical="center" wrapText="1"/>
    </xf>
    <xf numFmtId="0" fontId="4" fillId="5" borderId="4" xfId="0" applyFont="1" applyFill="1" applyBorder="1" applyAlignment="1">
      <alignment horizontal="right" vertical="center" wrapText="1"/>
    </xf>
    <xf numFmtId="0" fontId="4" fillId="5" borderId="5" xfId="0" applyFont="1" applyFill="1" applyBorder="1" applyAlignment="1">
      <alignment horizontal="right" vertical="center" wrapText="1"/>
    </xf>
    <xf numFmtId="0" fontId="4" fillId="5" borderId="6" xfId="0" applyFont="1" applyFill="1" applyBorder="1" applyAlignment="1">
      <alignment horizontal="right" vertical="center" wrapText="1"/>
    </xf>
    <xf numFmtId="0" fontId="4" fillId="5" borderId="16" xfId="0" applyFont="1" applyFill="1" applyBorder="1" applyAlignment="1">
      <alignment horizontal="right" vertical="center" wrapText="1"/>
    </xf>
    <xf numFmtId="0" fontId="4" fillId="5" borderId="17" xfId="0" applyFont="1" applyFill="1" applyBorder="1" applyAlignment="1">
      <alignment horizontal="right" vertical="center" wrapText="1"/>
    </xf>
    <xf numFmtId="0" fontId="4" fillId="5" borderId="18" xfId="0" applyFont="1" applyFill="1" applyBorder="1" applyAlignment="1">
      <alignment horizontal="right" vertical="center" wrapText="1"/>
    </xf>
    <xf numFmtId="0" fontId="2" fillId="6" borderId="1" xfId="0" applyFont="1" applyFill="1" applyBorder="1" applyAlignment="1">
      <alignment horizontal="center" vertical="center"/>
    </xf>
    <xf numFmtId="0" fontId="4" fillId="8" borderId="4" xfId="0" applyFont="1" applyFill="1" applyBorder="1" applyAlignment="1">
      <alignment horizontal="right" vertical="center" wrapText="1"/>
    </xf>
    <xf numFmtId="0" fontId="4" fillId="8" borderId="5" xfId="0" applyFont="1" applyFill="1" applyBorder="1" applyAlignment="1">
      <alignment horizontal="right" vertical="center" wrapText="1"/>
    </xf>
    <xf numFmtId="0" fontId="4" fillId="8" borderId="6" xfId="0" applyFont="1" applyFill="1" applyBorder="1" applyAlignment="1">
      <alignment horizontal="right" vertical="center" wrapText="1"/>
    </xf>
    <xf numFmtId="0" fontId="4" fillId="8" borderId="16" xfId="0" applyFont="1" applyFill="1" applyBorder="1" applyAlignment="1">
      <alignment horizontal="right" vertical="center" wrapText="1"/>
    </xf>
    <xf numFmtId="0" fontId="4" fillId="8" borderId="17"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3" fillId="13" borderId="36" xfId="0" applyFont="1" applyFill="1" applyBorder="1" applyAlignment="1">
      <alignment horizontal="left" vertical="center" wrapText="1"/>
    </xf>
    <xf numFmtId="0" fontId="3" fillId="13" borderId="38" xfId="0" applyFont="1" applyFill="1" applyBorder="1" applyAlignment="1">
      <alignment horizontal="left" vertical="center" wrapText="1"/>
    </xf>
    <xf numFmtId="0" fontId="3" fillId="17" borderId="16" xfId="0" applyFont="1" applyFill="1" applyBorder="1" applyAlignment="1">
      <alignment horizontal="left" vertical="center" wrapText="1"/>
    </xf>
    <xf numFmtId="0" fontId="4" fillId="18" borderId="0" xfId="0" applyFont="1" applyFill="1" applyBorder="1" applyAlignment="1">
      <alignment horizontal="right" vertical="center" wrapText="1"/>
    </xf>
  </cellXfs>
  <cellStyles count="2">
    <cellStyle name="Kötü" xfId="1" builtinId="27"/>
    <cellStyle name="Normal" xfId="0" builtinId="0"/>
  </cellStyles>
  <dxfs count="0"/>
  <tableStyles count="0" defaultTableStyle="TableStyleMedium2" defaultPivotStyle="PivotStyleLight16"/>
  <colors>
    <mruColors>
      <color rgb="FF85FFFF"/>
      <color rgb="FFFF5757"/>
      <color rgb="FFFF8BFF"/>
      <color rgb="FFDCC5ED"/>
      <color rgb="FFB381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6C591-12F9-4794-8BD6-6998A8E6E5DD}">
  <dimension ref="A2:A9"/>
  <sheetViews>
    <sheetView tabSelected="1" zoomScale="130" zoomScaleNormal="130" workbookViewId="0">
      <selection activeCell="A12" sqref="A12"/>
    </sheetView>
  </sheetViews>
  <sheetFormatPr defaultRowHeight="15" x14ac:dyDescent="0.25"/>
  <cols>
    <col min="1" max="1" width="174.7109375" customWidth="1"/>
  </cols>
  <sheetData>
    <row r="2" spans="1:1" ht="42.75" customHeight="1" x14ac:dyDescent="0.25">
      <c r="A2" s="198" t="s">
        <v>245</v>
      </c>
    </row>
    <row r="3" spans="1:1" ht="60" x14ac:dyDescent="0.25">
      <c r="A3" s="197" t="s">
        <v>219</v>
      </c>
    </row>
    <row r="6" spans="1:1" ht="45" x14ac:dyDescent="0.25">
      <c r="A6" s="197" t="s">
        <v>250</v>
      </c>
    </row>
    <row r="9" spans="1:1" ht="45" x14ac:dyDescent="0.25">
      <c r="A9" s="197" t="s">
        <v>251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A91A-1F3A-47ED-96C7-4063DF897E65}">
  <dimension ref="A1:S106"/>
  <sheetViews>
    <sheetView zoomScaleNormal="100" workbookViewId="0">
      <pane xSplit="2" ySplit="1" topLeftCell="C2" activePane="bottomRight" state="frozen"/>
      <selection pane="topRight" activeCell="C1" sqref="C1"/>
      <selection pane="bottomLeft" activeCell="A4" sqref="A4"/>
      <selection pane="bottomRight" activeCell="H14" sqref="H14"/>
    </sheetView>
  </sheetViews>
  <sheetFormatPr defaultColWidth="8.85546875" defaultRowHeight="21" x14ac:dyDescent="0.25"/>
  <cols>
    <col min="1" max="1" width="8.28515625" style="73" customWidth="1"/>
    <col min="2" max="2" width="33.85546875" style="74" customWidth="1"/>
    <col min="3" max="3" width="90" style="1" bestFit="1" customWidth="1"/>
    <col min="4" max="4" width="13.7109375" style="1" customWidth="1"/>
    <col min="5" max="6" width="13.28515625" style="124" customWidth="1"/>
    <col min="7" max="7" width="8.85546875" style="75"/>
    <col min="8" max="9" width="8.85546875" style="75" customWidth="1"/>
    <col min="10" max="10" width="17.85546875" style="75" customWidth="1"/>
    <col min="11" max="11" width="8.85546875" style="75" customWidth="1"/>
    <col min="12" max="13" width="11.42578125" style="75" customWidth="1"/>
    <col min="14" max="14" width="8.85546875" style="75"/>
    <col min="15" max="19" width="8.85546875" style="75" hidden="1" customWidth="1"/>
    <col min="20" max="16384" width="8.85546875" style="75"/>
  </cols>
  <sheetData>
    <row r="1" spans="1:13" s="123" customFormat="1" ht="42.75" customHeight="1" thickBot="1" x14ac:dyDescent="0.3">
      <c r="A1" s="130" t="s">
        <v>189</v>
      </c>
      <c r="B1" s="131" t="s">
        <v>190</v>
      </c>
      <c r="C1" s="131" t="s">
        <v>191</v>
      </c>
      <c r="D1" s="131" t="s">
        <v>248</v>
      </c>
      <c r="E1" s="130" t="s">
        <v>213</v>
      </c>
      <c r="F1" s="130" t="s">
        <v>192</v>
      </c>
      <c r="H1" s="327" t="s">
        <v>216</v>
      </c>
      <c r="I1" s="328"/>
      <c r="J1" s="145" t="s">
        <v>178</v>
      </c>
      <c r="L1" s="139" t="s">
        <v>217</v>
      </c>
      <c r="M1" s="144" t="s">
        <v>180</v>
      </c>
    </row>
    <row r="2" spans="1:13" ht="15.75" x14ac:dyDescent="0.25">
      <c r="A2" s="329" t="s">
        <v>0</v>
      </c>
      <c r="B2" s="332" t="s">
        <v>1</v>
      </c>
      <c r="C2" s="29" t="s">
        <v>2</v>
      </c>
      <c r="D2" s="232" t="s">
        <v>218</v>
      </c>
      <c r="E2" s="147"/>
      <c r="F2" s="142" t="str">
        <f>IF(M1="Yeni",HLOOKUP($J$1,'bina puanlar'!$D$3:$J$33,2,FALSE),HLOOKUP($J$1,'bina puanlar'!$L$3:$R$33,2,FALSE))</f>
        <v>Z</v>
      </c>
    </row>
    <row r="3" spans="1:13" ht="15.75" x14ac:dyDescent="0.25">
      <c r="A3" s="330"/>
      <c r="B3" s="333"/>
      <c r="C3" s="3" t="s">
        <v>4</v>
      </c>
      <c r="D3" s="233" t="s">
        <v>247</v>
      </c>
      <c r="E3" s="147"/>
      <c r="F3" s="137">
        <f>IF(M1="Yeni",HLOOKUP($J$1,'bina puanlar'!$D$3:$J$33,3,FALSE),HLOOKUP($J$1,'bina puanlar'!$L$3:$R$33,3,FALSE))</f>
        <v>4</v>
      </c>
    </row>
    <row r="4" spans="1:13" ht="15.75" x14ac:dyDescent="0.25">
      <c r="A4" s="330"/>
      <c r="B4" s="333"/>
      <c r="C4" s="3" t="s">
        <v>5</v>
      </c>
      <c r="D4" s="232" t="s">
        <v>218</v>
      </c>
      <c r="E4" s="147"/>
      <c r="F4" s="136" t="str">
        <f>IF(M1="Yeni",HLOOKUP($J$1,'bina puanlar'!$D$3:$J$33,4,FALSE),HLOOKUP($J$1,'bina puanlar'!$L$3:$R$33,4,FALSE))</f>
        <v>Z</v>
      </c>
    </row>
    <row r="5" spans="1:13" ht="16.5" thickBot="1" x14ac:dyDescent="0.3">
      <c r="A5" s="330"/>
      <c r="B5" s="334"/>
      <c r="C5" s="4" t="s">
        <v>6</v>
      </c>
      <c r="D5" s="234" t="s">
        <v>247</v>
      </c>
      <c r="E5" s="148"/>
      <c r="F5" s="135">
        <f>IF(M1="Yeni",HLOOKUP($J$1,'bina puanlar'!$D$3:$J$33,5,FALSE),HLOOKUP($J$1,'bina puanlar'!$L$3:$R$33,5,FALSE))</f>
        <v>10</v>
      </c>
    </row>
    <row r="6" spans="1:13" ht="15.75" x14ac:dyDescent="0.25">
      <c r="A6" s="330"/>
      <c r="B6" s="335" t="s">
        <v>7</v>
      </c>
      <c r="C6" s="2" t="s">
        <v>8</v>
      </c>
      <c r="D6" s="232" t="s">
        <v>218</v>
      </c>
      <c r="E6" s="146"/>
      <c r="F6" s="136" t="str">
        <f>IF(M1="Yeni",HLOOKUP($J$1,'bina puanlar'!$D$3:$J$33,6,FALSE),HLOOKUP($J$1,'bina puanlar'!$L$3:$R$33,6,FALSE))</f>
        <v>Z</v>
      </c>
    </row>
    <row r="7" spans="1:13" ht="18" customHeight="1" x14ac:dyDescent="0.25">
      <c r="A7" s="330"/>
      <c r="B7" s="333"/>
      <c r="C7" s="3" t="s">
        <v>9</v>
      </c>
      <c r="D7" s="233" t="s">
        <v>247</v>
      </c>
      <c r="E7" s="147"/>
      <c r="F7" s="137">
        <f>IF(M1="Yeni",HLOOKUP($J$1,'bina puanlar'!$D$3:$J$33,7,FALSE),HLOOKUP($J$1,'bina puanlar'!$L$3:$R$33,7,FALSE))</f>
        <v>4</v>
      </c>
    </row>
    <row r="8" spans="1:13" ht="15.75" x14ac:dyDescent="0.25">
      <c r="A8" s="330"/>
      <c r="B8" s="333"/>
      <c r="C8" s="3" t="s">
        <v>10</v>
      </c>
      <c r="D8" s="233" t="s">
        <v>247</v>
      </c>
      <c r="E8" s="147"/>
      <c r="F8" s="137">
        <f>IF(M1="Yeni",HLOOKUP($J$1,'bina puanlar'!$D$3:$J$33,8,FALSE),HLOOKUP($J$1,'bina puanlar'!$L$3:$R$33,8,FALSE))</f>
        <v>4</v>
      </c>
    </row>
    <row r="9" spans="1:13" ht="15.75" x14ac:dyDescent="0.25">
      <c r="A9" s="330"/>
      <c r="B9" s="333"/>
      <c r="C9" s="3" t="s">
        <v>11</v>
      </c>
      <c r="D9" s="233" t="s">
        <v>247</v>
      </c>
      <c r="E9" s="147"/>
      <c r="F9" s="137">
        <f>IF(M1="Yeni",HLOOKUP($J$1,'bina puanlar'!$D$3:$J$33,9,FALSE),HLOOKUP($J$1,'bina puanlar'!$L$3:$R$33,9,FALSE))</f>
        <v>3</v>
      </c>
    </row>
    <row r="10" spans="1:13" ht="15.75" x14ac:dyDescent="0.25">
      <c r="A10" s="330"/>
      <c r="B10" s="333"/>
      <c r="C10" s="3" t="s">
        <v>12</v>
      </c>
      <c r="D10" s="233" t="s">
        <v>247</v>
      </c>
      <c r="E10" s="147"/>
      <c r="F10" s="137">
        <f>IF(M1="Yeni",HLOOKUP($J$1,'bina puanlar'!$D$3:$J$33,10,FALSE),HLOOKUP($J$1,'bina puanlar'!$L$3:$R$33,10,FALSE))</f>
        <v>4</v>
      </c>
    </row>
    <row r="11" spans="1:13" ht="15.75" x14ac:dyDescent="0.25">
      <c r="A11" s="330"/>
      <c r="B11" s="333"/>
      <c r="C11" s="3" t="s">
        <v>13</v>
      </c>
      <c r="D11" s="233" t="s">
        <v>247</v>
      </c>
      <c r="E11" s="147"/>
      <c r="F11" s="137">
        <f>IF(M1="Yeni",HLOOKUP($J$1,'bina puanlar'!$D$3:$J$33,11,FALSE),HLOOKUP($J$1,'bina puanlar'!$L$3:$R$33,11,FALSE))</f>
        <v>2</v>
      </c>
    </row>
    <row r="12" spans="1:13" ht="15.75" x14ac:dyDescent="0.25">
      <c r="A12" s="330"/>
      <c r="B12" s="333"/>
      <c r="C12" s="3" t="s">
        <v>14</v>
      </c>
      <c r="D12" s="233" t="s">
        <v>247</v>
      </c>
      <c r="E12" s="147"/>
      <c r="F12" s="137">
        <f>IF(M1="Yeni",HLOOKUP($J$1,'bina puanlar'!$D$3:$J$33,12,FALSE),HLOOKUP($J$1,'bina puanlar'!$L$3:$R$33,12,FALSE))</f>
        <v>3</v>
      </c>
    </row>
    <row r="13" spans="1:13" ht="15.75" x14ac:dyDescent="0.25">
      <c r="A13" s="330"/>
      <c r="B13" s="333"/>
      <c r="C13" s="3" t="s">
        <v>15</v>
      </c>
      <c r="D13" s="233" t="s">
        <v>247</v>
      </c>
      <c r="E13" s="147"/>
      <c r="F13" s="137">
        <f>IF(M1="Yeni",HLOOKUP($J$1,'bina puanlar'!$D$3:$J$33,13,FALSE),HLOOKUP($J$1,'bina puanlar'!$L$3:$R$33,13,FALSE))</f>
        <v>3</v>
      </c>
    </row>
    <row r="14" spans="1:13" ht="15.75" x14ac:dyDescent="0.25">
      <c r="A14" s="330"/>
      <c r="B14" s="333"/>
      <c r="C14" s="3" t="s">
        <v>16</v>
      </c>
      <c r="D14" s="233" t="s">
        <v>247</v>
      </c>
      <c r="E14" s="147"/>
      <c r="F14" s="137">
        <f>IF(M1="Yeni",HLOOKUP($J$1,'bina puanlar'!$D$3:$J$33,14,FALSE),HLOOKUP($J$1,'bina puanlar'!$L$3:$R$33,14,FALSE))</f>
        <v>4</v>
      </c>
    </row>
    <row r="15" spans="1:13" ht="15.75" x14ac:dyDescent="0.25">
      <c r="A15" s="330"/>
      <c r="B15" s="333"/>
      <c r="C15" s="3" t="s">
        <v>17</v>
      </c>
      <c r="D15" s="233" t="s">
        <v>247</v>
      </c>
      <c r="E15" s="147"/>
      <c r="F15" s="137">
        <f>IF(M1="Yeni",HLOOKUP($J$1,'bina puanlar'!$D$3:$J$33,15,FALSE),HLOOKUP($J$1,'bina puanlar'!$L$3:$R$33,15,FALSE))</f>
        <v>4</v>
      </c>
    </row>
    <row r="16" spans="1:13" ht="15.75" x14ac:dyDescent="0.25">
      <c r="A16" s="330"/>
      <c r="B16" s="333"/>
      <c r="C16" s="3" t="s">
        <v>18</v>
      </c>
      <c r="D16" s="233" t="s">
        <v>247</v>
      </c>
      <c r="E16" s="147"/>
      <c r="F16" s="137">
        <f>IF(M1="Yeni",HLOOKUP($J$1,'bina puanlar'!$D$3:$J$33,16,FALSE),HLOOKUP($J$1,'bina puanlar'!$L$3:$R$33,16,FALSE))</f>
        <v>3</v>
      </c>
    </row>
    <row r="17" spans="1:19" ht="16.149999999999999" customHeight="1" x14ac:dyDescent="0.25">
      <c r="A17" s="330"/>
      <c r="B17" s="333"/>
      <c r="C17" s="3" t="s">
        <v>19</v>
      </c>
      <c r="D17" s="233" t="s">
        <v>247</v>
      </c>
      <c r="E17" s="147"/>
      <c r="F17" s="137">
        <f>IF(M1="Yeni",HLOOKUP($J$1,'bina puanlar'!$D$3:$J$33,17,FALSE),HLOOKUP($J$1,'bina puanlar'!$L$3:$R$33,17,FALSE))</f>
        <v>3</v>
      </c>
    </row>
    <row r="18" spans="1:19" ht="15.75" x14ac:dyDescent="0.25">
      <c r="A18" s="330"/>
      <c r="B18" s="333"/>
      <c r="C18" s="3" t="s">
        <v>20</v>
      </c>
      <c r="D18" s="233" t="s">
        <v>247</v>
      </c>
      <c r="E18" s="147"/>
      <c r="F18" s="137">
        <f>IF(M1="Yeni",HLOOKUP($J$1,'bina puanlar'!$D$3:$J$33,18,FALSE),HLOOKUP($J$1,'bina puanlar'!$L$3:$R$33,18,FALSE))</f>
        <v>1</v>
      </c>
    </row>
    <row r="19" spans="1:19" ht="16.5" thickBot="1" x14ac:dyDescent="0.3">
      <c r="A19" s="330"/>
      <c r="B19" s="334"/>
      <c r="C19" s="4" t="s">
        <v>21</v>
      </c>
      <c r="D19" s="234" t="s">
        <v>247</v>
      </c>
      <c r="E19" s="148"/>
      <c r="F19" s="135">
        <f>IF(M1="Yeni",HLOOKUP($J$1,'bina puanlar'!$D$3:$J$33,19,FALSE),HLOOKUP($J$1,'bina puanlar'!$L$3:$R$33,19,FALSE))</f>
        <v>1</v>
      </c>
    </row>
    <row r="20" spans="1:19" ht="33" customHeight="1" thickBot="1" x14ac:dyDescent="0.3">
      <c r="A20" s="330"/>
      <c r="B20" s="81" t="s">
        <v>22</v>
      </c>
      <c r="C20" s="5" t="s">
        <v>220</v>
      </c>
      <c r="D20" s="235" t="s">
        <v>247</v>
      </c>
      <c r="E20" s="149"/>
      <c r="F20" s="138">
        <f>IF(M1="Yeni",HLOOKUP($J$1,'bina puanlar'!$D$3:$J$33,20,FALSE),HLOOKUP($J$1,'bina puanlar'!$L$3:$R$33,20,FALSE))</f>
        <v>2</v>
      </c>
    </row>
    <row r="21" spans="1:19" ht="15.75" x14ac:dyDescent="0.25">
      <c r="A21" s="330"/>
      <c r="B21" s="335" t="s">
        <v>23</v>
      </c>
      <c r="C21" s="6" t="s">
        <v>24</v>
      </c>
      <c r="D21" s="236" t="s">
        <v>247</v>
      </c>
      <c r="E21" s="146"/>
      <c r="F21" s="136">
        <f>IF(M1="Yeni",HLOOKUP($J$1,'bina puanlar'!$D$3:$J$33,21,FALSE),HLOOKUP($J$1,'bina puanlar'!$L$3:$R$33,21,FALSE))</f>
        <v>6</v>
      </c>
    </row>
    <row r="22" spans="1:19" ht="15.75" x14ac:dyDescent="0.25">
      <c r="A22" s="330"/>
      <c r="B22" s="333"/>
      <c r="C22" s="7" t="s">
        <v>183</v>
      </c>
      <c r="D22" s="233" t="s">
        <v>247</v>
      </c>
      <c r="E22" s="147"/>
      <c r="F22" s="137">
        <f>IF(M1="Yeni",HLOOKUP($J$1,'bina puanlar'!$D$3:$J$33,22,FALSE),HLOOKUP($J$1,'bina puanlar'!$L$3:$R$33,22,FALSE))</f>
        <v>3</v>
      </c>
    </row>
    <row r="23" spans="1:19" ht="15.75" x14ac:dyDescent="0.25">
      <c r="A23" s="330"/>
      <c r="B23" s="333"/>
      <c r="C23" s="7" t="s">
        <v>25</v>
      </c>
      <c r="D23" s="232" t="s">
        <v>218</v>
      </c>
      <c r="E23" s="146"/>
      <c r="F23" s="137" t="str">
        <f>IF(M1="Yeni",HLOOKUP($J$1,'bina puanlar'!$D$3:$J$33,23,FALSE),HLOOKUP($J$1,'bina puanlar'!$L$3:$R$33,23,FALSE))</f>
        <v>Z</v>
      </c>
    </row>
    <row r="24" spans="1:19" ht="15.75" x14ac:dyDescent="0.25">
      <c r="A24" s="330"/>
      <c r="B24" s="333"/>
      <c r="C24" s="7" t="s">
        <v>184</v>
      </c>
      <c r="D24" s="233" t="s">
        <v>247</v>
      </c>
      <c r="E24" s="147"/>
      <c r="F24" s="137">
        <f>IF(M1="Yeni",HLOOKUP($J$1,'bina puanlar'!$D$3:$J$33,24,FALSE),HLOOKUP($J$1,'bina puanlar'!$L$3:$R$33,24,FALSE))</f>
        <v>7</v>
      </c>
    </row>
    <row r="25" spans="1:19" ht="16.5" thickBot="1" x14ac:dyDescent="0.3">
      <c r="A25" s="330"/>
      <c r="B25" s="334"/>
      <c r="C25" s="8" t="s">
        <v>26</v>
      </c>
      <c r="D25" s="234" t="s">
        <v>247</v>
      </c>
      <c r="E25" s="148"/>
      <c r="F25" s="135">
        <f>IF(M1="Yeni",HLOOKUP($J$1,'bina puanlar'!$D$3:$J$33,25,FALSE),HLOOKUP($J$1,'bina puanlar'!$L$3:$R$33,25,FALSE))</f>
        <v>4</v>
      </c>
    </row>
    <row r="26" spans="1:19" ht="31.5" x14ac:dyDescent="0.25">
      <c r="A26" s="330"/>
      <c r="B26" s="335" t="s">
        <v>27</v>
      </c>
      <c r="C26" s="2" t="s">
        <v>28</v>
      </c>
      <c r="D26" s="236" t="s">
        <v>247</v>
      </c>
      <c r="E26" s="146"/>
      <c r="F26" s="136">
        <f>IF(M1="Yeni",HLOOKUP($J$1,'bina puanlar'!$D$3:$J$33,26,FALSE),HLOOKUP($J$1,'bina puanlar'!$L$3:$R$33,26,FALSE))</f>
        <v>5</v>
      </c>
    </row>
    <row r="27" spans="1:19" ht="16.5" thickBot="1" x14ac:dyDescent="0.3">
      <c r="A27" s="330"/>
      <c r="B27" s="334"/>
      <c r="C27" s="4" t="s">
        <v>29</v>
      </c>
      <c r="D27" s="234" t="s">
        <v>247</v>
      </c>
      <c r="E27" s="148"/>
      <c r="F27" s="135">
        <f>IF(M1="Yeni",HLOOKUP($J$1,'bina puanlar'!$D$3:$J$33,27,FALSE),HLOOKUP($J$1,'bina puanlar'!$L$3:$R$33,27,FALSE))</f>
        <v>5</v>
      </c>
    </row>
    <row r="28" spans="1:19" ht="15.75" x14ac:dyDescent="0.25">
      <c r="A28" s="330"/>
      <c r="B28" s="335" t="s">
        <v>30</v>
      </c>
      <c r="C28" s="6" t="s">
        <v>31</v>
      </c>
      <c r="D28" s="236" t="s">
        <v>247</v>
      </c>
      <c r="E28" s="146"/>
      <c r="F28" s="136">
        <f>IF(M1="Yeni",HLOOKUP($J$1,'bina puanlar'!$D$3:$J$33,28,FALSE),HLOOKUP($J$1,'bina puanlar'!$L$3:$R$33,28,FALSE))</f>
        <v>5</v>
      </c>
    </row>
    <row r="29" spans="1:19" ht="31.5" x14ac:dyDescent="0.25">
      <c r="A29" s="330"/>
      <c r="B29" s="333"/>
      <c r="C29" s="7" t="s">
        <v>32</v>
      </c>
      <c r="D29" s="233" t="s">
        <v>247</v>
      </c>
      <c r="E29" s="147"/>
      <c r="F29" s="137">
        <f>IF(M1="Yeni",HLOOKUP($J$1,'bina puanlar'!$D$3:$J$33,29,FALSE),HLOOKUP($J$1,'bina puanlar'!$L$3:$R$33,29,FALSE))</f>
        <v>2</v>
      </c>
    </row>
    <row r="30" spans="1:19" ht="31.5" x14ac:dyDescent="0.25">
      <c r="A30" s="330"/>
      <c r="B30" s="333"/>
      <c r="C30" s="7" t="s">
        <v>33</v>
      </c>
      <c r="D30" s="233" t="s">
        <v>247</v>
      </c>
      <c r="E30" s="147"/>
      <c r="F30" s="137">
        <f>IF(M1="Yeni",HLOOKUP($J$1,'bina puanlar'!$D$3:$J$33,30,FALSE),HLOOKUP($J$1,'bina puanlar'!$L$3:$R$33,30,FALSE))</f>
        <v>5</v>
      </c>
    </row>
    <row r="31" spans="1:19" ht="18" customHeight="1" thickBot="1" x14ac:dyDescent="0.3">
      <c r="A31" s="331"/>
      <c r="B31" s="334"/>
      <c r="C31" s="8" t="s">
        <v>185</v>
      </c>
      <c r="D31" s="234" t="s">
        <v>247</v>
      </c>
      <c r="E31" s="148"/>
      <c r="F31" s="135">
        <f>IF(M1="Yeni",HLOOKUP($J$1,'bina puanlar'!$D$3:$J$33,31,FALSE),HLOOKUP($J$1,'bina puanlar'!$L$3:$R$33,31,FALSE))</f>
        <v>3</v>
      </c>
      <c r="P31" s="125" t="s">
        <v>201</v>
      </c>
      <c r="Q31" s="125" t="s">
        <v>202</v>
      </c>
      <c r="R31" s="125" t="s">
        <v>203</v>
      </c>
      <c r="S31" s="125" t="s">
        <v>204</v>
      </c>
    </row>
    <row r="32" spans="1:19" ht="15.75" customHeight="1" x14ac:dyDescent="0.25">
      <c r="A32" s="272" t="s">
        <v>246</v>
      </c>
      <c r="B32" s="273"/>
      <c r="C32" s="273"/>
      <c r="D32" s="274"/>
      <c r="E32" s="241">
        <f>SUM(E2:E31)</f>
        <v>0</v>
      </c>
      <c r="F32" s="136">
        <f>SUM(F2:F31)</f>
        <v>100</v>
      </c>
      <c r="P32" s="125">
        <f>IF($M$1="Yeni",IF($E$33&gt;='bina puanlar'!D119,1,0),IF($E$33&gt;='bina puanlar'!L119,1,0))</f>
        <v>0</v>
      </c>
      <c r="Q32" s="125">
        <f>IF($M$1="Yeni",IF($E$33&gt;='bina puanlar'!E119,1,0),IF($E$33&gt;='bina puanlar'!M119,1,0))</f>
        <v>0</v>
      </c>
      <c r="R32" s="125">
        <f>IF($M$1="Yeni",IF($E$33&gt;='bina puanlar'!F119,1,0),IF($E$33&gt;='bina puanlar'!N119,1,0))</f>
        <v>0</v>
      </c>
      <c r="S32" s="125">
        <f>IF($M$1="Yeni",IF($E$33&gt;='bina puanlar'!G119,1,0),IF($E$33&gt;='bina puanlar'!O119,1,0))</f>
        <v>0</v>
      </c>
    </row>
    <row r="33" spans="1:6" s="86" customFormat="1" ht="16.5" thickBot="1" x14ac:dyDescent="0.3">
      <c r="A33" s="275"/>
      <c r="B33" s="276"/>
      <c r="C33" s="276"/>
      <c r="D33" s="277"/>
      <c r="E33" s="242">
        <f>E32*F33/100</f>
        <v>0</v>
      </c>
      <c r="F33" s="135">
        <f>IF(M1="Yeni",HLOOKUP($J$1,'bina puanlar'!$D$108:$J$114,2,FALSE),HLOOKUP($J$1,'bina puanlar'!$L$108:$R$114,2,FALSE))</f>
        <v>10</v>
      </c>
    </row>
    <row r="34" spans="1:6" s="86" customFormat="1" ht="21.75" thickBot="1" x14ac:dyDescent="0.3">
      <c r="A34" s="9"/>
      <c r="B34" s="23"/>
      <c r="C34" s="89"/>
      <c r="D34" s="89"/>
      <c r="E34" s="126"/>
      <c r="F34" s="126"/>
    </row>
    <row r="35" spans="1:6" ht="15.75" x14ac:dyDescent="0.25">
      <c r="A35" s="336" t="s">
        <v>35</v>
      </c>
      <c r="B35" s="340" t="s">
        <v>36</v>
      </c>
      <c r="C35" s="260" t="s">
        <v>221</v>
      </c>
      <c r="D35" s="237" t="s">
        <v>218</v>
      </c>
      <c r="E35" s="231"/>
      <c r="F35" s="134" t="str">
        <f>IF(M1="Yeni",HLOOKUP($J$1,'bina puanlar'!$D$37:$J$53,2,FALSE),HLOOKUP($J$1,'bina puanlar'!$L$37:$R$53,2,FALSE))</f>
        <v>Z</v>
      </c>
    </row>
    <row r="36" spans="1:6" ht="15.75" x14ac:dyDescent="0.25">
      <c r="A36" s="337"/>
      <c r="B36" s="341"/>
      <c r="C36" s="261" t="s">
        <v>223</v>
      </c>
      <c r="D36" s="233" t="s">
        <v>247</v>
      </c>
      <c r="E36" s="147"/>
      <c r="F36" s="137">
        <f>IF(M1="Yeni",HLOOKUP($J$1,'bina puanlar'!$D$37:$J$53,3,FALSE),HLOOKUP($J$1,'bina puanlar'!$L$37:$R$53,3,FALSE))</f>
        <v>4</v>
      </c>
    </row>
    <row r="37" spans="1:6" ht="15.75" x14ac:dyDescent="0.25">
      <c r="A37" s="337"/>
      <c r="B37" s="341"/>
      <c r="C37" s="261" t="s">
        <v>222</v>
      </c>
      <c r="D37" s="233" t="s">
        <v>247</v>
      </c>
      <c r="E37" s="147"/>
      <c r="F37" s="137">
        <f>IF(M1="Yeni",HLOOKUP($J$1,'bina puanlar'!$D$37:$J$53,4,FALSE),HLOOKUP($J$1,'bina puanlar'!$L$37:$R$53,4,FALSE))</f>
        <v>5</v>
      </c>
    </row>
    <row r="38" spans="1:6" ht="31.5" x14ac:dyDescent="0.25">
      <c r="A38" s="337"/>
      <c r="B38" s="341"/>
      <c r="C38" s="261" t="s">
        <v>37</v>
      </c>
      <c r="D38" s="233" t="s">
        <v>247</v>
      </c>
      <c r="E38" s="147"/>
      <c r="F38" s="137">
        <f>IF(M1="Yeni",HLOOKUP($J$1,'bina puanlar'!$D$37:$J$53,5,FALSE),HLOOKUP($J$1,'bina puanlar'!$L$37:$R$53,5,FALSE))</f>
        <v>5</v>
      </c>
    </row>
    <row r="39" spans="1:6" ht="15.75" x14ac:dyDescent="0.25">
      <c r="A39" s="337"/>
      <c r="B39" s="341"/>
      <c r="C39" s="261" t="s">
        <v>38</v>
      </c>
      <c r="D39" s="233" t="s">
        <v>247</v>
      </c>
      <c r="E39" s="147"/>
      <c r="F39" s="137">
        <f>IF(M1="Yeni",HLOOKUP($J$1,'bina puanlar'!$D$37:$J$53,6,FALSE),HLOOKUP($J$1,'bina puanlar'!$L$37:$R$53,6,FALSE))</f>
        <v>5</v>
      </c>
    </row>
    <row r="40" spans="1:6" ht="15.75" x14ac:dyDescent="0.25">
      <c r="A40" s="337"/>
      <c r="B40" s="341"/>
      <c r="C40" s="261" t="s">
        <v>39</v>
      </c>
      <c r="D40" s="233" t="s">
        <v>247</v>
      </c>
      <c r="E40" s="147"/>
      <c r="F40" s="137">
        <f>IF(M1="Yeni",HLOOKUP($J$1,'bina puanlar'!$D$37:$J$53,7,FALSE),HLOOKUP($J$1,'bina puanlar'!$L$37:$R$53,7,FALSE))</f>
        <v>4</v>
      </c>
    </row>
    <row r="41" spans="1:6" ht="16.5" thickBot="1" x14ac:dyDescent="0.3">
      <c r="A41" s="337"/>
      <c r="B41" s="342"/>
      <c r="C41" s="262" t="s">
        <v>40</v>
      </c>
      <c r="D41" s="234" t="s">
        <v>247</v>
      </c>
      <c r="E41" s="148"/>
      <c r="F41" s="135">
        <f>IF(M1="Yeni",HLOOKUP($J$1,'bina puanlar'!$D$37:$J$53,8,FALSE),HLOOKUP($J$1,'bina puanlar'!$L$37:$R$53,8,FALSE))</f>
        <v>5</v>
      </c>
    </row>
    <row r="42" spans="1:6" ht="31.5" x14ac:dyDescent="0.25">
      <c r="A42" s="338"/>
      <c r="B42" s="343" t="s">
        <v>41</v>
      </c>
      <c r="C42" s="227" t="s">
        <v>42</v>
      </c>
      <c r="D42" s="236" t="s">
        <v>247</v>
      </c>
      <c r="E42" s="146"/>
      <c r="F42" s="136">
        <f>IF(M1="Yeni",HLOOKUP($J$1,'bina puanlar'!$D$37:$J$53,9,FALSE),HLOOKUP($J$1,'bina puanlar'!$L$37:$R$53,9,FALSE))</f>
        <v>4</v>
      </c>
    </row>
    <row r="43" spans="1:6" ht="15.75" customHeight="1" x14ac:dyDescent="0.25">
      <c r="A43" s="338"/>
      <c r="B43" s="341"/>
      <c r="C43" s="11" t="s">
        <v>43</v>
      </c>
      <c r="D43" s="233" t="s">
        <v>247</v>
      </c>
      <c r="E43" s="147"/>
      <c r="F43" s="137">
        <f>IF(M1="Yeni",HLOOKUP($J$1,'bina puanlar'!$D$37:$J$53,10,FALSE),HLOOKUP($J$1,'bina puanlar'!$L$37:$R$53,10,FALSE))</f>
        <v>4</v>
      </c>
    </row>
    <row r="44" spans="1:6" ht="15.75" customHeight="1" x14ac:dyDescent="0.25">
      <c r="A44" s="338"/>
      <c r="B44" s="341"/>
      <c r="C44" s="11" t="s">
        <v>44</v>
      </c>
      <c r="D44" s="233" t="s">
        <v>247</v>
      </c>
      <c r="E44" s="147"/>
      <c r="F44" s="137">
        <f>IF(M1="Yeni",HLOOKUP($J$1,'bina puanlar'!$D$37:$J$53,11,FALSE),HLOOKUP($J$1,'bina puanlar'!$L$37:$R$53,11,FALSE))</f>
        <v>4</v>
      </c>
    </row>
    <row r="45" spans="1:6" ht="15.75" customHeight="1" x14ac:dyDescent="0.25">
      <c r="A45" s="338"/>
      <c r="B45" s="341"/>
      <c r="C45" s="11" t="s">
        <v>45</v>
      </c>
      <c r="D45" s="233" t="s">
        <v>247</v>
      </c>
      <c r="E45" s="147"/>
      <c r="F45" s="137">
        <f>IF(M1="Yeni",HLOOKUP($J$1,'bina puanlar'!$D$37:$J$53,12,FALSE),HLOOKUP($J$1,'bina puanlar'!$L$37:$R$53,12,FALSE))</f>
        <v>4</v>
      </c>
    </row>
    <row r="46" spans="1:6" ht="15.75" customHeight="1" x14ac:dyDescent="0.25">
      <c r="A46" s="338"/>
      <c r="B46" s="341"/>
      <c r="C46" s="11" t="s">
        <v>46</v>
      </c>
      <c r="D46" s="233" t="s">
        <v>247</v>
      </c>
      <c r="E46" s="147"/>
      <c r="F46" s="137">
        <f>IF(M1="Yeni",HLOOKUP($J$1,'bina puanlar'!$D$37:$J$53,13,FALSE),HLOOKUP($J$1,'bina puanlar'!$L$37:$R$53,13,FALSE))</f>
        <v>4</v>
      </c>
    </row>
    <row r="47" spans="1:6" ht="15.75" customHeight="1" x14ac:dyDescent="0.25">
      <c r="A47" s="338"/>
      <c r="B47" s="341"/>
      <c r="C47" s="11" t="s">
        <v>47</v>
      </c>
      <c r="D47" s="233" t="s">
        <v>247</v>
      </c>
      <c r="E47" s="147"/>
      <c r="F47" s="137">
        <f>IF(M1="Yeni",HLOOKUP($J$1,'bina puanlar'!$D$37:$J$53,14,FALSE),HLOOKUP($J$1,'bina puanlar'!$L$37:$R$53,14,FALSE))</f>
        <v>4</v>
      </c>
    </row>
    <row r="48" spans="1:6" ht="16.5" customHeight="1" thickBot="1" x14ac:dyDescent="0.3">
      <c r="A48" s="338"/>
      <c r="B48" s="342"/>
      <c r="C48" s="12" t="s">
        <v>48</v>
      </c>
      <c r="D48" s="234" t="s">
        <v>247</v>
      </c>
      <c r="E48" s="148"/>
      <c r="F48" s="135">
        <f>IF(M1="Yeni",HLOOKUP($J$1,'bina puanlar'!$D$37:$J$53,15,FALSE),HLOOKUP($J$1,'bina puanlar'!$L$37:$R$53,15,FALSE))</f>
        <v>4</v>
      </c>
    </row>
    <row r="49" spans="1:19" ht="32.25" thickBot="1" x14ac:dyDescent="0.3">
      <c r="A49" s="338"/>
      <c r="B49" s="13" t="s">
        <v>49</v>
      </c>
      <c r="C49" s="14" t="s">
        <v>224</v>
      </c>
      <c r="D49" s="237" t="s">
        <v>218</v>
      </c>
      <c r="E49" s="149"/>
      <c r="F49" s="138">
        <f>IF(M1="Yeni",HLOOKUP($J$1,'bina puanlar'!$D$37:$J$53,16,FALSE),HLOOKUP($J$1,'bina puanlar'!$L$37:$R$53,16,FALSE))</f>
        <v>28</v>
      </c>
    </row>
    <row r="50" spans="1:19" ht="32.25" thickBot="1" x14ac:dyDescent="0.3">
      <c r="A50" s="339"/>
      <c r="B50" s="13" t="s">
        <v>51</v>
      </c>
      <c r="C50" s="15" t="s">
        <v>52</v>
      </c>
      <c r="D50" s="238" t="s">
        <v>218</v>
      </c>
      <c r="E50" s="149"/>
      <c r="F50" s="138">
        <f>IF(M1="Yeni",HLOOKUP($J$1,'bina puanlar'!$D$37:$J$53,17,FALSE),HLOOKUP($J$1,'bina puanlar'!$L$37:$R$53,17,FALSE))</f>
        <v>16</v>
      </c>
      <c r="P50" s="125" t="s">
        <v>201</v>
      </c>
      <c r="Q50" s="125" t="s">
        <v>202</v>
      </c>
      <c r="R50" s="125" t="s">
        <v>203</v>
      </c>
      <c r="S50" s="125" t="s">
        <v>204</v>
      </c>
    </row>
    <row r="51" spans="1:19" ht="15.75" customHeight="1" x14ac:dyDescent="0.25">
      <c r="A51" s="278" t="s">
        <v>246</v>
      </c>
      <c r="B51" s="279"/>
      <c r="C51" s="279"/>
      <c r="D51" s="280"/>
      <c r="E51" s="243">
        <f>SUM(E35:E50)</f>
        <v>0</v>
      </c>
      <c r="F51" s="136">
        <f>SUM(F35:F50)</f>
        <v>100</v>
      </c>
      <c r="P51" s="125">
        <f>IF($M$1="Yeni",IF($E$52&gt;='bina puanlar'!D120,1,0),IF($E$52&gt;='bina puanlar'!L120,1,0))</f>
        <v>0</v>
      </c>
      <c r="Q51" s="125">
        <f>IF($M$1="Yeni",IF($E$52&gt;='bina puanlar'!E120,1,0),IF($E$52&gt;='bina puanlar'!M120,1,0))</f>
        <v>0</v>
      </c>
      <c r="R51" s="125">
        <f>IF($M$1="Yeni",IF($E$52&gt;='bina puanlar'!F120,1,0),IF($E$52&gt;='bina puanlar'!N120,1,0))</f>
        <v>0</v>
      </c>
      <c r="S51" s="125">
        <f>IF($M$1="Yeni",IF($E$52&gt;='bina puanlar'!G120,1,0),IF($E$52&gt;='bina puanlar'!O120,1,0))</f>
        <v>0</v>
      </c>
    </row>
    <row r="52" spans="1:19" s="86" customFormat="1" ht="16.5" customHeight="1" thickBot="1" x14ac:dyDescent="0.3">
      <c r="A52" s="281"/>
      <c r="B52" s="282"/>
      <c r="C52" s="282"/>
      <c r="D52" s="283"/>
      <c r="E52" s="244">
        <f>E51*F52/100</f>
        <v>0</v>
      </c>
      <c r="F52" s="135">
        <f>IF(M1="Yeni",HLOOKUP($J$1,'bina puanlar'!$D$108:$J$114,3,FALSE),HLOOKUP($J$1,'bina puanlar'!$L$108:$R$114,3,FALSE))</f>
        <v>20</v>
      </c>
      <c r="J52" s="75"/>
    </row>
    <row r="53" spans="1:19" s="86" customFormat="1" ht="21.75" thickBot="1" x14ac:dyDescent="0.3">
      <c r="A53" s="9"/>
      <c r="B53" s="23"/>
      <c r="C53" s="93"/>
      <c r="D53" s="93"/>
      <c r="E53" s="132"/>
      <c r="F53" s="132"/>
      <c r="J53" s="75"/>
    </row>
    <row r="54" spans="1:19" ht="48" thickBot="1" x14ac:dyDescent="0.3">
      <c r="A54" s="319" t="s">
        <v>53</v>
      </c>
      <c r="B54" s="94" t="s">
        <v>54</v>
      </c>
      <c r="C54" s="16" t="s">
        <v>225</v>
      </c>
      <c r="D54" s="235" t="s">
        <v>247</v>
      </c>
      <c r="E54" s="149"/>
      <c r="F54" s="138">
        <f>IF(M1="Yeni",HLOOKUP($J$1,'bina puanlar'!$D$57:$J$69,2,FALSE),HLOOKUP($J$1,'bina puanlar'!$L$57:$R$69,2,FALSE))</f>
        <v>10</v>
      </c>
    </row>
    <row r="55" spans="1:19" ht="15.75" customHeight="1" x14ac:dyDescent="0.25">
      <c r="A55" s="320"/>
      <c r="B55" s="322" t="s">
        <v>55</v>
      </c>
      <c r="C55" s="17" t="s">
        <v>56</v>
      </c>
      <c r="D55" s="236" t="s">
        <v>247</v>
      </c>
      <c r="E55" s="146"/>
      <c r="F55" s="136">
        <f>IF(M1="Yeni",HLOOKUP($J$1,'bina puanlar'!$D$57:$J$69,3,FALSE),HLOOKUP($J$1,'bina puanlar'!$L$57:$R$69,3,FALSE))</f>
        <v>5</v>
      </c>
    </row>
    <row r="56" spans="1:19" ht="16.5" customHeight="1" thickBot="1" x14ac:dyDescent="0.3">
      <c r="A56" s="320"/>
      <c r="B56" s="323"/>
      <c r="C56" s="18" t="s">
        <v>226</v>
      </c>
      <c r="D56" s="234" t="s">
        <v>247</v>
      </c>
      <c r="E56" s="148"/>
      <c r="F56" s="135">
        <f>IF(M1="Yeni",HLOOKUP($J$1,'bina puanlar'!$D$57:$J$69,4,FALSE),HLOOKUP($J$1,'bina puanlar'!$L$57:$R$69,4,FALSE))</f>
        <v>11</v>
      </c>
    </row>
    <row r="57" spans="1:19" ht="16.5" customHeight="1" thickBot="1" x14ac:dyDescent="0.3">
      <c r="A57" s="320"/>
      <c r="B57" s="95" t="s">
        <v>57</v>
      </c>
      <c r="C57" s="19" t="s">
        <v>227</v>
      </c>
      <c r="D57" s="239" t="s">
        <v>247</v>
      </c>
      <c r="E57" s="149"/>
      <c r="F57" s="138">
        <f>IF(M1="Yeni",HLOOKUP($J$1,'bina puanlar'!$D$57:$J$69,5,FALSE),HLOOKUP($J$1,'bina puanlar'!$L$57:$R$69,5,FALSE))</f>
        <v>5</v>
      </c>
    </row>
    <row r="58" spans="1:19" ht="32.25" thickBot="1" x14ac:dyDescent="0.3">
      <c r="A58" s="320"/>
      <c r="B58" s="94" t="s">
        <v>58</v>
      </c>
      <c r="C58" s="20" t="s">
        <v>59</v>
      </c>
      <c r="D58" s="235" t="s">
        <v>247</v>
      </c>
      <c r="E58" s="149"/>
      <c r="F58" s="138">
        <f>IF(M1="Yeni",HLOOKUP($J$1,'bina puanlar'!$D$57:$J$69,6,FALSE),HLOOKUP($J$1,'bina puanlar'!$L$57:$R$69,6,FALSE))</f>
        <v>20</v>
      </c>
    </row>
    <row r="59" spans="1:19" ht="16.5" thickBot="1" x14ac:dyDescent="0.3">
      <c r="A59" s="320"/>
      <c r="B59" s="96" t="s">
        <v>60</v>
      </c>
      <c r="C59" s="21" t="s">
        <v>61</v>
      </c>
      <c r="D59" s="240" t="s">
        <v>247</v>
      </c>
      <c r="E59" s="149"/>
      <c r="F59" s="138">
        <f>IF(M1="Yeni",HLOOKUP($J$1,'bina puanlar'!$D$57:$J$69,7,FALSE),HLOOKUP($J$1,'bina puanlar'!$L$57:$R$69,7,FALSE))</f>
        <v>6</v>
      </c>
    </row>
    <row r="60" spans="1:19" ht="15.75" x14ac:dyDescent="0.25">
      <c r="A60" s="320"/>
      <c r="B60" s="322" t="s">
        <v>62</v>
      </c>
      <c r="C60" s="17" t="s">
        <v>228</v>
      </c>
      <c r="D60" s="236" t="s">
        <v>247</v>
      </c>
      <c r="E60" s="146"/>
      <c r="F60" s="136">
        <f>IF(M1="Yeni",HLOOKUP($J$1,'bina puanlar'!$D$57:$J$69,8,FALSE),HLOOKUP($J$1,'bina puanlar'!$L$57:$R$69,8,FALSE))</f>
        <v>6</v>
      </c>
    </row>
    <row r="61" spans="1:19" ht="15.75" x14ac:dyDescent="0.25">
      <c r="A61" s="320"/>
      <c r="B61" s="324"/>
      <c r="C61" s="22" t="s">
        <v>63</v>
      </c>
      <c r="D61" s="233" t="s">
        <v>247</v>
      </c>
      <c r="E61" s="147"/>
      <c r="F61" s="137">
        <f>IF(M1="Yeni",HLOOKUP($J$1,'bina puanlar'!$D$57:$J$69,9,FALSE),HLOOKUP($J$1,'bina puanlar'!$L$57:$R$69,9,FALSE))</f>
        <v>5</v>
      </c>
    </row>
    <row r="62" spans="1:19" ht="15.75" x14ac:dyDescent="0.25">
      <c r="A62" s="320"/>
      <c r="B62" s="324"/>
      <c r="C62" s="22" t="s">
        <v>64</v>
      </c>
      <c r="D62" s="233" t="s">
        <v>247</v>
      </c>
      <c r="E62" s="147"/>
      <c r="F62" s="137">
        <f>IF(M1="Yeni",HLOOKUP($J$1,'bina puanlar'!$D$57:$J$69,10,FALSE),HLOOKUP($J$1,'bina puanlar'!$L$57:$R$69,10,FALSE))</f>
        <v>5</v>
      </c>
    </row>
    <row r="63" spans="1:19" ht="32.25" thickBot="1" x14ac:dyDescent="0.3">
      <c r="A63" s="320"/>
      <c r="B63" s="323"/>
      <c r="C63" s="18" t="s">
        <v>65</v>
      </c>
      <c r="D63" s="234" t="s">
        <v>247</v>
      </c>
      <c r="E63" s="148"/>
      <c r="F63" s="135">
        <f>IF(M1="Yeni",HLOOKUP($J$1,'bina puanlar'!$D$57:$J$69,11,FALSE),HLOOKUP($J$1,'bina puanlar'!$L$57:$R$69,11,FALSE))</f>
        <v>13</v>
      </c>
    </row>
    <row r="64" spans="1:19" ht="15.75" x14ac:dyDescent="0.25">
      <c r="A64" s="320"/>
      <c r="B64" s="322" t="s">
        <v>66</v>
      </c>
      <c r="C64" s="17" t="s">
        <v>67</v>
      </c>
      <c r="D64" s="236" t="s">
        <v>247</v>
      </c>
      <c r="E64" s="146"/>
      <c r="F64" s="136">
        <f>IF(M1="Yeni",HLOOKUP($J$1,'bina puanlar'!$D$57:$J$69,12,FALSE),HLOOKUP($J$1,'bina puanlar'!$L$57:$R$69,12,FALSE))</f>
        <v>6</v>
      </c>
    </row>
    <row r="65" spans="1:19" ht="16.5" thickBot="1" x14ac:dyDescent="0.3">
      <c r="A65" s="321"/>
      <c r="B65" s="323"/>
      <c r="C65" s="18" t="s">
        <v>68</v>
      </c>
      <c r="D65" s="234" t="s">
        <v>247</v>
      </c>
      <c r="E65" s="148"/>
      <c r="F65" s="135">
        <f>IF(M1="Yeni",HLOOKUP($J$1,'bina puanlar'!$D$57:$J$69,13,FALSE),HLOOKUP($J$1,'bina puanlar'!$L$57:$R$69,13,FALSE))</f>
        <v>8</v>
      </c>
      <c r="P65" s="125" t="s">
        <v>201</v>
      </c>
      <c r="Q65" s="125" t="s">
        <v>202</v>
      </c>
      <c r="R65" s="125" t="s">
        <v>203</v>
      </c>
      <c r="S65" s="125" t="s">
        <v>204</v>
      </c>
    </row>
    <row r="66" spans="1:19" ht="15.75" customHeight="1" x14ac:dyDescent="0.25">
      <c r="A66" s="284" t="s">
        <v>246</v>
      </c>
      <c r="B66" s="285"/>
      <c r="C66" s="285"/>
      <c r="D66" s="286"/>
      <c r="E66" s="245">
        <f>SUM(E54:E65)</f>
        <v>0</v>
      </c>
      <c r="F66" s="136">
        <f>SUM(F54:F65)</f>
        <v>100</v>
      </c>
      <c r="P66" s="125">
        <f>IF($M$1="Yeni",IF($E$67&gt;='bina puanlar'!D121,1,0),IF($E$67&gt;='bina puanlar'!L121,1,0))</f>
        <v>0</v>
      </c>
      <c r="Q66" s="125">
        <f>IF($M$1="Yeni",IF($E$67&gt;='bina puanlar'!E121,1,0),IF($E$67&gt;='bina puanlar'!M121,1,0))</f>
        <v>0</v>
      </c>
      <c r="R66" s="125">
        <f>IF($M$1="Yeni",IF($E$67&gt;='bina puanlar'!F121,1,0),IF($E$67&gt;='bina puanlar'!N121,1,0))</f>
        <v>0</v>
      </c>
      <c r="S66" s="125">
        <f>IF($M$1="Yeni",IF($E$67&gt;='bina puanlar'!G121,1,0),IF($E$67&gt;='bina puanlar'!O121,1,0))</f>
        <v>0</v>
      </c>
    </row>
    <row r="67" spans="1:19" s="86" customFormat="1" ht="16.5" thickBot="1" x14ac:dyDescent="0.3">
      <c r="A67" s="287"/>
      <c r="B67" s="288"/>
      <c r="C67" s="288"/>
      <c r="D67" s="289"/>
      <c r="E67" s="246">
        <f>E66*F67/100</f>
        <v>0</v>
      </c>
      <c r="F67" s="135">
        <f>IF(M1="Yeni",HLOOKUP($J$1,'bina puanlar'!$D$108:$J$114,4,FALSE),HLOOKUP($J$1,'bina puanlar'!$L$108:$R$114,4,FALSE))</f>
        <v>16</v>
      </c>
    </row>
    <row r="68" spans="1:19" s="86" customFormat="1" ht="21.75" thickBot="1" x14ac:dyDescent="0.3">
      <c r="A68" s="9"/>
      <c r="B68" s="23"/>
      <c r="C68" s="93"/>
      <c r="D68" s="126"/>
      <c r="E68" s="126"/>
      <c r="F68" s="126"/>
    </row>
    <row r="69" spans="1:19" ht="15.75" x14ac:dyDescent="0.25">
      <c r="A69" s="344" t="s">
        <v>69</v>
      </c>
      <c r="B69" s="270" t="s">
        <v>70</v>
      </c>
      <c r="C69" s="259" t="s">
        <v>182</v>
      </c>
      <c r="D69" s="237" t="s">
        <v>218</v>
      </c>
      <c r="E69" s="231"/>
      <c r="F69" s="134" t="str">
        <f>IF(M1="Yeni",HLOOKUP($J$1,'bina puanlar'!$D$73:$J$78,2,FALSE),HLOOKUP($J$1,'bina puanlar'!$L$73:$R$78,2,FALSE))</f>
        <v>Z</v>
      </c>
    </row>
    <row r="70" spans="1:19" ht="16.5" thickBot="1" x14ac:dyDescent="0.3">
      <c r="A70" s="345"/>
      <c r="B70" s="271"/>
      <c r="C70" s="257" t="s">
        <v>229</v>
      </c>
      <c r="D70" s="258" t="s">
        <v>247</v>
      </c>
      <c r="E70" s="253"/>
      <c r="F70" s="254">
        <f>IF(M1="Yeni",HLOOKUP($J$1,'bina puanlar'!$D$73:$J$78,3,FALSE),HLOOKUP($J$1,'bina puanlar'!$L$73:$R$78,3,FALSE))</f>
        <v>75</v>
      </c>
    </row>
    <row r="71" spans="1:19" ht="15.75" x14ac:dyDescent="0.25">
      <c r="A71" s="346"/>
      <c r="B71" s="348" t="s">
        <v>71</v>
      </c>
      <c r="C71" s="65" t="s">
        <v>72</v>
      </c>
      <c r="D71" s="236" t="s">
        <v>247</v>
      </c>
      <c r="E71" s="146"/>
      <c r="F71" s="136">
        <f>IF(M1="Yeni",HLOOKUP($J$1,'bina puanlar'!$D$73:$J$78,4,FALSE),HLOOKUP($J$1,'bina puanlar'!$L$73:$R$78,4,FALSE))</f>
        <v>7</v>
      </c>
    </row>
    <row r="72" spans="1:19" ht="31.5" x14ac:dyDescent="0.25">
      <c r="A72" s="346"/>
      <c r="B72" s="349"/>
      <c r="C72" s="24" t="s">
        <v>73</v>
      </c>
      <c r="D72" s="233" t="s">
        <v>247</v>
      </c>
      <c r="E72" s="147"/>
      <c r="F72" s="137">
        <f>IF(M1="Yeni",HLOOKUP($J$1,'bina puanlar'!$D$73:$J$78,5,FALSE),HLOOKUP($J$1,'bina puanlar'!$L$73:$R$78,5,FALSE))</f>
        <v>18</v>
      </c>
    </row>
    <row r="73" spans="1:19" ht="32.25" thickBot="1" x14ac:dyDescent="0.3">
      <c r="A73" s="347"/>
      <c r="B73" s="271"/>
      <c r="C73" s="25" t="s">
        <v>74</v>
      </c>
      <c r="D73" s="234" t="s">
        <v>247</v>
      </c>
      <c r="E73" s="148"/>
      <c r="F73" s="135">
        <f>IF(M1="Yeni",HLOOKUP($J$1,'bina puanlar'!$D$73:$J$78,6,FALSE),HLOOKUP($J$1,'bina puanlar'!$L$73:$R$78,6,FALSE))</f>
        <v>10</v>
      </c>
      <c r="P73" s="125" t="s">
        <v>201</v>
      </c>
      <c r="Q73" s="125" t="s">
        <v>202</v>
      </c>
      <c r="R73" s="125" t="s">
        <v>203</v>
      </c>
      <c r="S73" s="125" t="s">
        <v>204</v>
      </c>
    </row>
    <row r="74" spans="1:19" ht="15.75" customHeight="1" x14ac:dyDescent="0.25">
      <c r="A74" s="290" t="s">
        <v>246</v>
      </c>
      <c r="B74" s="291"/>
      <c r="C74" s="291"/>
      <c r="D74" s="292"/>
      <c r="E74" s="247">
        <f>SUM(E69:E73)</f>
        <v>0</v>
      </c>
      <c r="F74" s="136">
        <f>SUM(F69:F71)+IF(F72&gt;F73,F72,F73)</f>
        <v>100</v>
      </c>
      <c r="P74" s="125">
        <f>IF($M$1="Yeni",IF($E$75&gt;='bina puanlar'!D122,1,0),IF($E$75&gt;='bina puanlar'!L122,1,0))</f>
        <v>0</v>
      </c>
      <c r="Q74" s="125">
        <f>IF($M$1="Yeni",IF($E$75&gt;='bina puanlar'!E122,1,0),IF($E$75&gt;='bina puanlar'!M122,1,0))</f>
        <v>0</v>
      </c>
      <c r="R74" s="125">
        <f>IF($M$1="Yeni",IF($E$75&gt;='bina puanlar'!F122,1,0),IF($E$75&gt;='bina puanlar'!N122,1,0))</f>
        <v>0</v>
      </c>
      <c r="S74" s="125">
        <f>IF($M$1="Yeni",IF($E$75&gt;='bina puanlar'!G122,1,0),IF($E$75&gt;='bina puanlar'!O122,1,0))</f>
        <v>0</v>
      </c>
    </row>
    <row r="75" spans="1:19" s="86" customFormat="1" ht="16.5" thickBot="1" x14ac:dyDescent="0.3">
      <c r="A75" s="293"/>
      <c r="B75" s="294"/>
      <c r="C75" s="294"/>
      <c r="D75" s="295"/>
      <c r="E75" s="248">
        <f>E74*F75/100</f>
        <v>0</v>
      </c>
      <c r="F75" s="135">
        <f>IF(M1="Yeni",HLOOKUP($J$1,'bina puanlar'!$D$108:$J$114,5,FALSE),HLOOKUP($J$1,'bina puanlar'!$L$108:$R$114,5,FALSE))</f>
        <v>26</v>
      </c>
    </row>
    <row r="76" spans="1:19" s="86" customFormat="1" ht="21.75" thickBot="1" x14ac:dyDescent="0.3">
      <c r="A76" s="9"/>
      <c r="B76" s="23"/>
      <c r="C76" s="89"/>
      <c r="D76" s="132"/>
      <c r="E76" s="132"/>
      <c r="F76" s="132"/>
    </row>
    <row r="77" spans="1:19" ht="31.5" x14ac:dyDescent="0.25">
      <c r="A77" s="301" t="s">
        <v>75</v>
      </c>
      <c r="B77" s="304" t="s">
        <v>76</v>
      </c>
      <c r="C77" s="26" t="s">
        <v>77</v>
      </c>
      <c r="D77" s="236" t="s">
        <v>247</v>
      </c>
      <c r="E77" s="146"/>
      <c r="F77" s="134">
        <f>IF(M1="Yeni",HLOOKUP($J$1,'bina puanlar'!$D$82:$J$93,2,FALSE),HLOOKUP($J$1,'bina puanlar'!$L$82:$R$93,2,FALSE))</f>
        <v>20</v>
      </c>
    </row>
    <row r="78" spans="1:19" ht="15.75" x14ac:dyDescent="0.25">
      <c r="A78" s="302"/>
      <c r="B78" s="305"/>
      <c r="C78" s="27" t="s">
        <v>78</v>
      </c>
      <c r="D78" s="233" t="s">
        <v>247</v>
      </c>
      <c r="E78" s="147"/>
      <c r="F78" s="137">
        <f>IF(M1="Yeni",HLOOKUP($J$1,'bina puanlar'!$D$82:$J$93,3,FALSE),HLOOKUP($J$1,'bina puanlar'!$L$82:$R$93,3,FALSE))</f>
        <v>10</v>
      </c>
    </row>
    <row r="79" spans="1:19" ht="15.75" x14ac:dyDescent="0.25">
      <c r="A79" s="302"/>
      <c r="B79" s="305"/>
      <c r="C79" s="27" t="s">
        <v>79</v>
      </c>
      <c r="D79" s="232" t="s">
        <v>218</v>
      </c>
      <c r="E79" s="147"/>
      <c r="F79" s="137" t="str">
        <f>IF(M1="Yeni",HLOOKUP($J$1,'bina puanlar'!$D$82:$J$93,4,FALSE),HLOOKUP($J$1,'bina puanlar'!$L$82:$R$93,4,FALSE))</f>
        <v>Z</v>
      </c>
    </row>
    <row r="80" spans="1:19" ht="15.75" x14ac:dyDescent="0.25">
      <c r="A80" s="302"/>
      <c r="B80" s="305"/>
      <c r="C80" s="27" t="s">
        <v>80</v>
      </c>
      <c r="D80" s="233" t="s">
        <v>247</v>
      </c>
      <c r="E80" s="147"/>
      <c r="F80" s="137">
        <f>IF(M1="Yeni",HLOOKUP($J$1,'bina puanlar'!$D$82:$J$93,5,FALSE),HLOOKUP($J$1,'bina puanlar'!$L$82:$R$93,5,FALSE))</f>
        <v>5</v>
      </c>
    </row>
    <row r="81" spans="1:19" ht="15.75" x14ac:dyDescent="0.25">
      <c r="A81" s="302"/>
      <c r="B81" s="305"/>
      <c r="C81" s="27" t="s">
        <v>81</v>
      </c>
      <c r="D81" s="233" t="s">
        <v>247</v>
      </c>
      <c r="E81" s="147"/>
      <c r="F81" s="137">
        <f>IF(M1="Yeni",HLOOKUP($J$1,'bina puanlar'!$D$82:$J$93,6,FALSE),HLOOKUP($J$1,'bina puanlar'!$L$82:$R$93,6,FALSE))</f>
        <v>7</v>
      </c>
    </row>
    <row r="82" spans="1:19" ht="16.5" thickBot="1" x14ac:dyDescent="0.3">
      <c r="A82" s="302"/>
      <c r="B82" s="306"/>
      <c r="C82" s="28" t="s">
        <v>82</v>
      </c>
      <c r="D82" s="234" t="s">
        <v>247</v>
      </c>
      <c r="E82" s="148"/>
      <c r="F82" s="135">
        <f>IF(M1="Yeni",HLOOKUP($J$1,'bina puanlar'!$D$82:$J$93,7,FALSE),HLOOKUP($J$1,'bina puanlar'!$L$82:$R$93,7,FALSE))</f>
        <v>8</v>
      </c>
    </row>
    <row r="83" spans="1:19" ht="15.75" x14ac:dyDescent="0.25">
      <c r="A83" s="302"/>
      <c r="B83" s="304" t="s">
        <v>83</v>
      </c>
      <c r="C83" s="26" t="s">
        <v>84</v>
      </c>
      <c r="D83" s="232" t="s">
        <v>218</v>
      </c>
      <c r="E83" s="147"/>
      <c r="F83" s="136" t="str">
        <f>IF(M1="Yeni",HLOOKUP($J$1,'bina puanlar'!$D$82:$J$93,8,FALSE),HLOOKUP($J$1,'bina puanlar'!$L$82:$R$93,8,FALSE))</f>
        <v>Z</v>
      </c>
    </row>
    <row r="84" spans="1:19" ht="15.75" x14ac:dyDescent="0.25">
      <c r="A84" s="302"/>
      <c r="B84" s="305"/>
      <c r="C84" s="27" t="s">
        <v>85</v>
      </c>
      <c r="D84" s="233" t="s">
        <v>247</v>
      </c>
      <c r="E84" s="147"/>
      <c r="F84" s="137">
        <f>IF(M1="Yeni",HLOOKUP($J$1,'bina puanlar'!$D$82:$J$93,9,FALSE),HLOOKUP($J$1,'bina puanlar'!$L$82:$R$93,9,FALSE))</f>
        <v>20</v>
      </c>
    </row>
    <row r="85" spans="1:19" ht="31.5" x14ac:dyDescent="0.25">
      <c r="A85" s="302"/>
      <c r="B85" s="305"/>
      <c r="C85" s="27" t="s">
        <v>86</v>
      </c>
      <c r="D85" s="233" t="s">
        <v>247</v>
      </c>
      <c r="E85" s="147"/>
      <c r="F85" s="137">
        <f>IF(M1="Yeni",HLOOKUP($J$1,'bina puanlar'!$D$82:$J$93,10,FALSE),HLOOKUP($J$1,'bina puanlar'!$L$82:$R$93,10,FALSE))</f>
        <v>10</v>
      </c>
    </row>
    <row r="86" spans="1:19" ht="31.5" x14ac:dyDescent="0.25">
      <c r="A86" s="302"/>
      <c r="B86" s="305"/>
      <c r="C86" s="27" t="s">
        <v>87</v>
      </c>
      <c r="D86" s="233" t="s">
        <v>247</v>
      </c>
      <c r="E86" s="147"/>
      <c r="F86" s="137">
        <f>IF(M1="Yeni",HLOOKUP($J$1,'bina puanlar'!$D$82:$J$93,11,FALSE),HLOOKUP($J$1,'bina puanlar'!$L$82:$R$93,11,FALSE))</f>
        <v>15</v>
      </c>
    </row>
    <row r="87" spans="1:19" ht="16.5" thickBot="1" x14ac:dyDescent="0.3">
      <c r="A87" s="303"/>
      <c r="B87" s="306"/>
      <c r="C87" s="28" t="s">
        <v>88</v>
      </c>
      <c r="D87" s="234" t="s">
        <v>247</v>
      </c>
      <c r="E87" s="148"/>
      <c r="F87" s="135">
        <f>IF(M1="Yeni",HLOOKUP($J$1,'bina puanlar'!$D$82:$J$93,12,FALSE),HLOOKUP($J$1,'bina puanlar'!$L$82:$R$93,12,FALSE))</f>
        <v>5</v>
      </c>
      <c r="P87" s="125" t="s">
        <v>201</v>
      </c>
      <c r="Q87" s="125" t="s">
        <v>202</v>
      </c>
      <c r="R87" s="125" t="s">
        <v>203</v>
      </c>
      <c r="S87" s="125" t="s">
        <v>204</v>
      </c>
    </row>
    <row r="88" spans="1:19" ht="15.75" customHeight="1" x14ac:dyDescent="0.25">
      <c r="A88" s="307" t="s">
        <v>246</v>
      </c>
      <c r="B88" s="308"/>
      <c r="C88" s="308"/>
      <c r="D88" s="309"/>
      <c r="E88" s="251">
        <f>SUM(E77:E87)</f>
        <v>0</v>
      </c>
      <c r="F88" s="136">
        <f>SUM(F77:F87)</f>
        <v>100</v>
      </c>
      <c r="P88" s="125">
        <f>IF($M$1="Yeni",IF($E$89&gt;='bina puanlar'!D123,1,0),IF($E$89&gt;='bina puanlar'!L123,1,0))</f>
        <v>0</v>
      </c>
      <c r="Q88" s="125">
        <f>IF($M$1="Yeni",IF($E$89&gt;='bina puanlar'!E123,1,0),IF($E$89&gt;='bina puanlar'!M123,1,0))</f>
        <v>0</v>
      </c>
      <c r="R88" s="125">
        <f>IF($M$1="Yeni",IF($E$89&gt;='bina puanlar'!F123,1,0),IF($E$89&gt;='bina puanlar'!N123,1,0))</f>
        <v>0</v>
      </c>
      <c r="S88" s="125">
        <f>IF($M$1="Yeni",IF($E$89&gt;='bina puanlar'!G123,1,0),IF($E$89&gt;='bina puanlar'!O123,1,0))</f>
        <v>0</v>
      </c>
    </row>
    <row r="89" spans="1:19" s="86" customFormat="1" ht="16.5" thickBot="1" x14ac:dyDescent="0.3">
      <c r="A89" s="310"/>
      <c r="B89" s="311"/>
      <c r="C89" s="311"/>
      <c r="D89" s="312"/>
      <c r="E89" s="252">
        <f>E88*F89/100</f>
        <v>0</v>
      </c>
      <c r="F89" s="135">
        <f>IF(M1="Yeni",HLOOKUP($J$1,'bina puanlar'!$D$108:$J$114,6,FALSE),HLOOKUP($J$1,'bina puanlar'!$L$108:$R$114,6,FALSE))</f>
        <v>28.000000000000004</v>
      </c>
    </row>
    <row r="90" spans="1:19" s="86" customFormat="1" ht="22.5" customHeight="1" thickBot="1" x14ac:dyDescent="0.3">
      <c r="A90" s="46"/>
      <c r="B90" s="89"/>
      <c r="C90" s="46"/>
      <c r="D90" s="46"/>
      <c r="E90" s="230"/>
      <c r="F90" s="126"/>
    </row>
    <row r="91" spans="1:19" ht="31.5" x14ac:dyDescent="0.25">
      <c r="A91" s="296" t="s">
        <v>89</v>
      </c>
      <c r="B91" s="299" t="s">
        <v>90</v>
      </c>
      <c r="C91" s="255" t="s">
        <v>91</v>
      </c>
      <c r="D91" s="267" t="s">
        <v>247</v>
      </c>
      <c r="E91" s="231"/>
      <c r="F91" s="228">
        <f>IF(M1="Yeni",HLOOKUP($J$1,'bina puanlar'!$D$97:$J$100,2,FALSE),HLOOKUP($J$1,'bina puanlar'!$L$97:$R$100,2,FALSE))</f>
        <v>25</v>
      </c>
    </row>
    <row r="92" spans="1:19" ht="32.25" thickBot="1" x14ac:dyDescent="0.3">
      <c r="A92" s="297"/>
      <c r="B92" s="300"/>
      <c r="C92" s="256" t="s">
        <v>92</v>
      </c>
      <c r="D92" s="268" t="s">
        <v>247</v>
      </c>
      <c r="E92" s="148"/>
      <c r="F92" s="229">
        <f>IF(M1="Yeni",HLOOKUP($J$1,'bina puanlar'!$D$97:$J$100,3,FALSE),HLOOKUP($J$1,'bina puanlar'!$L$97:$R$100,3,FALSE))</f>
        <v>25</v>
      </c>
    </row>
    <row r="93" spans="1:19" ht="32.25" thickBot="1" x14ac:dyDescent="0.3">
      <c r="A93" s="298"/>
      <c r="B93" s="30" t="s">
        <v>93</v>
      </c>
      <c r="C93" s="71" t="s">
        <v>94</v>
      </c>
      <c r="D93" s="269" t="s">
        <v>247</v>
      </c>
      <c r="E93" s="149"/>
      <c r="F93" s="138">
        <f>IF(M1="Yeni",HLOOKUP($J$1,'bina puanlar'!$D$97:$J$100,4,FALSE),HLOOKUP($J$1,'bina puanlar'!$L$97:$R$100,4,FALSE))</f>
        <v>50</v>
      </c>
    </row>
    <row r="94" spans="1:19" ht="15.75" customHeight="1" x14ac:dyDescent="0.25">
      <c r="A94" s="313" t="s">
        <v>246</v>
      </c>
      <c r="B94" s="314"/>
      <c r="C94" s="314"/>
      <c r="D94" s="315"/>
      <c r="E94" s="249">
        <f>SUM(E91:E93)</f>
        <v>0</v>
      </c>
      <c r="F94" s="136">
        <f>SUM(F91:F93)</f>
        <v>100</v>
      </c>
    </row>
    <row r="95" spans="1:19" ht="16.5" thickBot="1" x14ac:dyDescent="0.3">
      <c r="A95" s="316"/>
      <c r="B95" s="317"/>
      <c r="C95" s="317"/>
      <c r="D95" s="318"/>
      <c r="E95" s="250">
        <f>E94*F95/100</f>
        <v>0</v>
      </c>
      <c r="F95" s="135">
        <f>IF(M1="Yeni",HLOOKUP($J$1,'bina puanlar'!$D$108:$J$114,7,FALSE),HLOOKUP($J$1,'bina puanlar'!$L$108:$R$114,7,FALSE))</f>
        <v>10</v>
      </c>
    </row>
    <row r="96" spans="1:19" ht="21.75" thickBot="1" x14ac:dyDescent="0.3"/>
    <row r="97" spans="2:19" ht="21.75" thickBot="1" x14ac:dyDescent="0.3">
      <c r="B97" s="265" t="s">
        <v>249</v>
      </c>
      <c r="C97" s="266" t="str">
        <f>IF(AND(D83="EVET",D79="EVET",D69="EVET",D50="EVET",D49="EVET",D23="EVET",D6="EVET",D4="EVET",D2="EVET"),"EVET","HAYIR")</f>
        <v>HAYIR</v>
      </c>
      <c r="D97" s="124"/>
      <c r="M97" s="124"/>
      <c r="O97" s="124"/>
      <c r="Q97" s="126"/>
      <c r="R97" s="126"/>
      <c r="S97" s="126"/>
    </row>
    <row r="98" spans="2:19" ht="21.75" thickBot="1" x14ac:dyDescent="0.3">
      <c r="B98" s="265" t="s">
        <v>199</v>
      </c>
      <c r="C98" s="266">
        <f>E33+E52+E67+E75+E89</f>
        <v>0</v>
      </c>
      <c r="D98" s="124"/>
      <c r="M98" s="124"/>
      <c r="O98" s="143" t="s">
        <v>206</v>
      </c>
      <c r="P98" s="143" t="s">
        <v>201</v>
      </c>
      <c r="Q98" s="143" t="s">
        <v>202</v>
      </c>
      <c r="R98" s="143" t="s">
        <v>203</v>
      </c>
      <c r="S98" s="143" t="s">
        <v>204</v>
      </c>
    </row>
    <row r="99" spans="2:19" ht="63.75" customHeight="1" thickBot="1" x14ac:dyDescent="0.3">
      <c r="B99" s="263" t="s">
        <v>200</v>
      </c>
      <c r="C99" s="264" t="str">
        <f>IF(C97="EVET",IF(P106=1,"Ulusal Üstünlük",IF(P105=1,"Çok İyi", IF(P104=1,"İyi",IF(P103=1,"Geçer","Yetersiz Puan")))),"Zorunlu kriterler sağlanmalı")</f>
        <v>Zorunlu kriterler sağlanmalı</v>
      </c>
      <c r="M99" s="124"/>
      <c r="O99" s="125" t="s">
        <v>208</v>
      </c>
      <c r="P99" s="125">
        <f>P88+P74+P66+P51+P32</f>
        <v>0</v>
      </c>
      <c r="Q99" s="125">
        <f>Q88+Q74+Q66+Q51+Q32</f>
        <v>0</v>
      </c>
      <c r="R99" s="125">
        <f>R88+R74+R66+R51+R32</f>
        <v>0</v>
      </c>
      <c r="S99" s="125">
        <f>S88+S74+S66+S51+S32</f>
        <v>0</v>
      </c>
    </row>
    <row r="100" spans="2:19" x14ac:dyDescent="0.25">
      <c r="M100" s="124"/>
      <c r="O100" s="125" t="s">
        <v>209</v>
      </c>
      <c r="P100" s="125">
        <f>IF($C$98&gt;=32,1,0)</f>
        <v>0</v>
      </c>
      <c r="Q100" s="125">
        <f>IF($C$98&gt;=40,1,0)</f>
        <v>0</v>
      </c>
      <c r="R100" s="125">
        <f>IF($C$98&gt;=55,1,0)</f>
        <v>0</v>
      </c>
      <c r="S100" s="125">
        <f>IF($C$98&gt;=75,1,0)</f>
        <v>0</v>
      </c>
    </row>
    <row r="101" spans="2:19" x14ac:dyDescent="0.25">
      <c r="M101" s="124"/>
      <c r="O101" s="124"/>
      <c r="P101" s="124"/>
      <c r="Q101" s="124"/>
      <c r="R101" s="124"/>
      <c r="S101" s="124"/>
    </row>
    <row r="102" spans="2:19" x14ac:dyDescent="0.25">
      <c r="M102" s="124"/>
      <c r="O102" s="325" t="s">
        <v>214</v>
      </c>
      <c r="P102" s="326"/>
      <c r="Q102" s="124"/>
      <c r="R102" s="124"/>
      <c r="S102" s="124"/>
    </row>
    <row r="103" spans="2:19" x14ac:dyDescent="0.25">
      <c r="M103" s="124"/>
      <c r="O103" s="125" t="s">
        <v>210</v>
      </c>
      <c r="P103" s="125" t="str">
        <f>IF(AND(P100=1,P99=5),1,"0")</f>
        <v>0</v>
      </c>
      <c r="Q103" s="124"/>
      <c r="R103" s="124"/>
      <c r="S103" s="124"/>
    </row>
    <row r="104" spans="2:19" x14ac:dyDescent="0.25">
      <c r="M104" s="124"/>
      <c r="O104" s="125" t="s">
        <v>211</v>
      </c>
      <c r="P104" s="125" t="str">
        <f>IF(AND(Q100=1,Q99=5),1,"0")</f>
        <v>0</v>
      </c>
      <c r="Q104" s="124"/>
      <c r="R104" s="124"/>
      <c r="S104" s="124"/>
    </row>
    <row r="105" spans="2:19" x14ac:dyDescent="0.25">
      <c r="M105" s="124"/>
      <c r="O105" s="125" t="s">
        <v>212</v>
      </c>
      <c r="P105" s="125" t="str">
        <f>IF(AND(R100=1,R99=5),1,"0")</f>
        <v>0</v>
      </c>
      <c r="Q105" s="124"/>
      <c r="R105" s="124"/>
      <c r="S105" s="124"/>
    </row>
    <row r="106" spans="2:19" x14ac:dyDescent="0.25">
      <c r="M106" s="124"/>
      <c r="O106" s="125" t="s">
        <v>204</v>
      </c>
      <c r="P106" s="125" t="str">
        <f>IF(AND(S100=1,S99=5),1,"0")</f>
        <v>0</v>
      </c>
      <c r="Q106" s="124"/>
      <c r="R106" s="124"/>
      <c r="S106" s="124"/>
    </row>
  </sheetData>
  <sheetProtection algorithmName="SHA-512" hashValue="NJqEKZ+t4N4hwvjJjPsQJgqzyYgCH4Ml3vRTVslDHhxlOk2EQrgNtxlRhU1Vaq1RgqKmT723xwVzjHHPZGa2Ow==" saltValue="QLQK2AfgFLtw/VdxYvcp7Q==" spinCount="100000" sheet="1" objects="1" scenarios="1"/>
  <mergeCells count="29">
    <mergeCell ref="O102:P102"/>
    <mergeCell ref="H1:I1"/>
    <mergeCell ref="A2:A31"/>
    <mergeCell ref="B2:B5"/>
    <mergeCell ref="B6:B19"/>
    <mergeCell ref="B21:B25"/>
    <mergeCell ref="B26:B27"/>
    <mergeCell ref="B28:B31"/>
    <mergeCell ref="A35:A50"/>
    <mergeCell ref="B35:B41"/>
    <mergeCell ref="B42:B48"/>
    <mergeCell ref="A69:A73"/>
    <mergeCell ref="B71:B73"/>
    <mergeCell ref="A94:D95"/>
    <mergeCell ref="A54:A65"/>
    <mergeCell ref="B55:B56"/>
    <mergeCell ref="B60:B63"/>
    <mergeCell ref="B64:B65"/>
    <mergeCell ref="A91:A93"/>
    <mergeCell ref="B91:B92"/>
    <mergeCell ref="A77:A87"/>
    <mergeCell ref="B77:B82"/>
    <mergeCell ref="B83:B87"/>
    <mergeCell ref="A88:D89"/>
    <mergeCell ref="B69:B70"/>
    <mergeCell ref="A32:D33"/>
    <mergeCell ref="A51:D52"/>
    <mergeCell ref="A66:D67"/>
    <mergeCell ref="A74:D75"/>
  </mergeCells>
  <dataValidations count="3">
    <dataValidation type="list" allowBlank="1" showInputMessage="1" showErrorMessage="1" sqref="J1" xr:uid="{64535920-6594-4E4D-B450-BFAAB44FCA65}">
      <formula1>"Konut,Ofis,Eğitim,Otel,Sağlık,AVM,Diğer"</formula1>
    </dataValidation>
    <dataValidation type="list" allowBlank="1" showInputMessage="1" showErrorMessage="1" sqref="M1" xr:uid="{3743D355-C169-4455-8B4A-211F21DC44BE}">
      <formula1>"Yeni,Mevcut"</formula1>
    </dataValidation>
    <dataValidation type="list" allowBlank="1" showInputMessage="1" showErrorMessage="1" sqref="D79 D69 D6 D23 D2 D4 D49:D50 D35 D83" xr:uid="{C9A50762-159F-47C1-9D9D-80447D1BEC3F}">
      <formula1>"Evet,Hayır"</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42DA8-FB69-4C3F-B12C-4F88C4C7DF44}">
  <dimension ref="A1:N102"/>
  <sheetViews>
    <sheetView zoomScale="115" zoomScaleNormal="115" workbookViewId="0">
      <pane xSplit="2" ySplit="1" topLeftCell="C2" activePane="bottomRight" state="frozen"/>
      <selection pane="topRight" activeCell="C1" sqref="C1"/>
      <selection pane="bottomLeft" activeCell="A2" sqref="A2"/>
      <selection pane="bottomRight" activeCell="G14" sqref="G14"/>
    </sheetView>
  </sheetViews>
  <sheetFormatPr defaultColWidth="8.85546875" defaultRowHeight="21" x14ac:dyDescent="0.25"/>
  <cols>
    <col min="1" max="1" width="8.28515625" style="73" customWidth="1"/>
    <col min="2" max="2" width="34.5703125" style="74" customWidth="1"/>
    <col min="3" max="3" width="96.42578125" style="1" customWidth="1"/>
    <col min="4" max="4" width="19.42578125" style="122" customWidth="1"/>
    <col min="5" max="5" width="19.85546875" style="75" customWidth="1"/>
    <col min="6" max="9" width="8.85546875" style="75"/>
    <col min="10" max="14" width="8.85546875" style="75" hidden="1" customWidth="1"/>
    <col min="15" max="16384" width="8.85546875" style="75"/>
  </cols>
  <sheetData>
    <row r="1" spans="1:14" ht="42" customHeight="1" thickBot="1" x14ac:dyDescent="0.3">
      <c r="A1" s="130" t="s">
        <v>189</v>
      </c>
      <c r="B1" s="131" t="s">
        <v>190</v>
      </c>
      <c r="C1" s="131" t="s">
        <v>191</v>
      </c>
      <c r="D1" s="130" t="s">
        <v>213</v>
      </c>
      <c r="E1" s="130" t="s">
        <v>192</v>
      </c>
      <c r="G1" s="384" t="s">
        <v>215</v>
      </c>
      <c r="H1" s="385"/>
      <c r="I1" s="144" t="s">
        <v>179</v>
      </c>
    </row>
    <row r="2" spans="1:14" ht="15.75" x14ac:dyDescent="0.25">
      <c r="A2" s="319" t="s">
        <v>96</v>
      </c>
      <c r="B2" s="350" t="s">
        <v>95</v>
      </c>
      <c r="C2" s="109" t="s">
        <v>230</v>
      </c>
      <c r="D2" s="181" t="s">
        <v>218</v>
      </c>
      <c r="E2" s="152" t="str">
        <f>IF($I$1="Yeni",'yerleşme puanlar'!D2,'yerleşme puanlar'!E2)</f>
        <v>Z</v>
      </c>
    </row>
    <row r="3" spans="1:14" ht="15.75" x14ac:dyDescent="0.25">
      <c r="A3" s="320"/>
      <c r="B3" s="351"/>
      <c r="C3" s="110" t="s">
        <v>97</v>
      </c>
      <c r="D3" s="182" t="s">
        <v>218</v>
      </c>
      <c r="E3" s="151" t="str">
        <f>IF($I$1="Yeni",'yerleşme puanlar'!D3,'yerleşme puanlar'!E3)</f>
        <v>Z</v>
      </c>
    </row>
    <row r="4" spans="1:14" ht="16.5" thickBot="1" x14ac:dyDescent="0.3">
      <c r="A4" s="320"/>
      <c r="B4" s="351"/>
      <c r="C4" s="111" t="s">
        <v>98</v>
      </c>
      <c r="D4" s="183" t="s">
        <v>218</v>
      </c>
      <c r="E4" s="153" t="str">
        <f>IF($I$1="Yeni",'yerleşme puanlar'!D4,'yerleşme puanlar'!E4)</f>
        <v>Z</v>
      </c>
    </row>
    <row r="5" spans="1:14" ht="15.75" x14ac:dyDescent="0.25">
      <c r="A5" s="320"/>
      <c r="B5" s="322" t="s">
        <v>99</v>
      </c>
      <c r="C5" s="112" t="s">
        <v>100</v>
      </c>
      <c r="D5" s="193"/>
      <c r="E5" s="170">
        <f>IF($I$1="Yeni",'yerleşme puanlar'!D5,'yerleşme puanlar'!E5)</f>
        <v>50</v>
      </c>
    </row>
    <row r="6" spans="1:14" ht="16.5" thickBot="1" x14ac:dyDescent="0.3">
      <c r="A6" s="320"/>
      <c r="B6" s="352"/>
      <c r="C6" s="113" t="s">
        <v>101</v>
      </c>
      <c r="D6" s="189"/>
      <c r="E6" s="169">
        <f>IF($I$1="Yeni",'yerleşme puanlar'!D6,'yerleşme puanlar'!E6)</f>
        <v>50</v>
      </c>
    </row>
    <row r="7" spans="1:14" ht="15.75" x14ac:dyDescent="0.25">
      <c r="A7" s="353" t="s">
        <v>34</v>
      </c>
      <c r="B7" s="354"/>
      <c r="C7" s="354"/>
      <c r="D7" s="180">
        <f>SUM(D2:D6)</f>
        <v>0</v>
      </c>
      <c r="E7" s="162">
        <f>SUM(E2:E6)</f>
        <v>100</v>
      </c>
      <c r="K7" s="143" t="s">
        <v>201</v>
      </c>
      <c r="L7" s="143" t="s">
        <v>202</v>
      </c>
      <c r="M7" s="143" t="s">
        <v>203</v>
      </c>
      <c r="N7" s="143" t="s">
        <v>204</v>
      </c>
    </row>
    <row r="8" spans="1:14" s="86" customFormat="1" ht="16.5" thickBot="1" x14ac:dyDescent="0.3">
      <c r="A8" s="355"/>
      <c r="B8" s="356"/>
      <c r="C8" s="356"/>
      <c r="D8" s="179">
        <f>D7*E8/100</f>
        <v>0</v>
      </c>
      <c r="E8" s="161">
        <f>E7*0.08</f>
        <v>8</v>
      </c>
      <c r="K8" s="125">
        <f>IF(AND(D2="Evet",D3="Evet",D4="Evet",SUM(D5:D6)&gt;0),1,0)</f>
        <v>0</v>
      </c>
      <c r="L8" s="125">
        <f>IF(AND(D2="Evet",D3="Evet",D4="Evet",SUM(D5:D6)&gt;0),1,0)</f>
        <v>0</v>
      </c>
      <c r="M8" s="125">
        <f>IF(AND(D2="Evet",D3="Evet",D4="Evet",SUM(D5:D6)&gt;0),1,0)</f>
        <v>0</v>
      </c>
      <c r="N8" s="125">
        <f>IF(AND(D2="Evet",D3="Evet",D4="Evet",SUM(D5:D6)&gt;0),1,0)</f>
        <v>0</v>
      </c>
    </row>
    <row r="9" spans="1:14" s="86" customFormat="1" ht="21.75" thickBot="1" x14ac:dyDescent="0.3">
      <c r="A9" s="9"/>
      <c r="B9" s="23"/>
      <c r="C9" s="93"/>
      <c r="D9" s="150"/>
      <c r="E9" s="150"/>
    </row>
    <row r="10" spans="1:14" ht="31.5" x14ac:dyDescent="0.25">
      <c r="A10" s="357" t="s">
        <v>244</v>
      </c>
      <c r="B10" s="361" t="s">
        <v>102</v>
      </c>
      <c r="C10" s="114" t="s">
        <v>231</v>
      </c>
      <c r="D10" s="193" t="s">
        <v>207</v>
      </c>
      <c r="E10" s="168" t="str">
        <f>IF($I$1="Yeni",'yerleşme puanlar'!D10,'yerleşme puanlar'!E10)</f>
        <v>Z</v>
      </c>
    </row>
    <row r="11" spans="1:14" ht="15.75" x14ac:dyDescent="0.25">
      <c r="A11" s="358"/>
      <c r="B11" s="362"/>
      <c r="C11" s="115" t="s">
        <v>103</v>
      </c>
      <c r="D11" s="187"/>
      <c r="E11" s="159">
        <f>IF($I$1="Yeni",'yerleşme puanlar'!D11,'yerleşme puanlar'!E11)</f>
        <v>2.5</v>
      </c>
    </row>
    <row r="12" spans="1:14" ht="16.5" thickBot="1" x14ac:dyDescent="0.3">
      <c r="A12" s="358"/>
      <c r="B12" s="362"/>
      <c r="C12" s="115" t="s">
        <v>104</v>
      </c>
      <c r="D12" s="189"/>
      <c r="E12" s="161">
        <f>IF($I$1="Yeni",'yerleşme puanlar'!D12,'yerleşme puanlar'!E12)</f>
        <v>2.5</v>
      </c>
    </row>
    <row r="13" spans="1:14" ht="15.75" x14ac:dyDescent="0.25">
      <c r="A13" s="358"/>
      <c r="B13" s="361" t="s">
        <v>107</v>
      </c>
      <c r="C13" s="114" t="s">
        <v>232</v>
      </c>
      <c r="D13" s="186" t="s">
        <v>218</v>
      </c>
      <c r="E13" s="168" t="str">
        <f>IF($I$1="Yeni",'yerleşme puanlar'!D13,'yerleşme puanlar'!E13)</f>
        <v>Z</v>
      </c>
    </row>
    <row r="14" spans="1:14" ht="15.75" x14ac:dyDescent="0.25">
      <c r="A14" s="358"/>
      <c r="B14" s="362"/>
      <c r="C14" s="115" t="s">
        <v>233</v>
      </c>
      <c r="D14" s="187" t="s">
        <v>218</v>
      </c>
      <c r="E14" s="162">
        <f>IF($I$1="Yeni",'yerleşme puanlar'!D14,'yerleşme puanlar'!E14)</f>
        <v>10</v>
      </c>
    </row>
    <row r="15" spans="1:14" ht="15.75" x14ac:dyDescent="0.25">
      <c r="A15" s="358"/>
      <c r="B15" s="362"/>
      <c r="C15" s="115" t="s">
        <v>234</v>
      </c>
      <c r="D15" s="187"/>
      <c r="E15" s="159">
        <f>IF($I$1="Yeni",'yerleşme puanlar'!D15,'yerleşme puanlar'!E15)</f>
        <v>15</v>
      </c>
    </row>
    <row r="16" spans="1:14" ht="16.5" thickBot="1" x14ac:dyDescent="0.3">
      <c r="A16" s="358"/>
      <c r="B16" s="363"/>
      <c r="C16" s="178" t="s">
        <v>105</v>
      </c>
      <c r="D16" s="189"/>
      <c r="E16" s="161">
        <f>IF($I$1="Yeni",'yerleşme puanlar'!D16,'yerleşme puanlar'!E16)</f>
        <v>10</v>
      </c>
    </row>
    <row r="17" spans="1:14" ht="15.75" x14ac:dyDescent="0.25">
      <c r="A17" s="358"/>
      <c r="B17" s="364" t="s">
        <v>106</v>
      </c>
      <c r="C17" s="114" t="s">
        <v>108</v>
      </c>
      <c r="D17" s="186"/>
      <c r="E17" s="162">
        <f>IF($I$1="Yeni",'yerleşme puanlar'!D17,'yerleşme puanlar'!E17)</f>
        <v>20</v>
      </c>
    </row>
    <row r="18" spans="1:14" ht="16.5" thickBot="1" x14ac:dyDescent="0.3">
      <c r="A18" s="358"/>
      <c r="B18" s="365"/>
      <c r="C18" s="178" t="s">
        <v>109</v>
      </c>
      <c r="D18" s="189"/>
      <c r="E18" s="161">
        <f>IF($I$1="Yeni",'yerleşme puanlar'!D18,'yerleşme puanlar'!E18)</f>
        <v>15</v>
      </c>
    </row>
    <row r="19" spans="1:14" ht="15.75" x14ac:dyDescent="0.25">
      <c r="A19" s="359"/>
      <c r="B19" s="364" t="s">
        <v>110</v>
      </c>
      <c r="C19" s="114" t="s">
        <v>111</v>
      </c>
      <c r="D19" s="186"/>
      <c r="E19" s="162">
        <f>IF($I$1="Yeni",'yerleşme puanlar'!D19,'yerleşme puanlar'!E19)</f>
        <v>5</v>
      </c>
    </row>
    <row r="20" spans="1:14" ht="32.25" thickBot="1" x14ac:dyDescent="0.3">
      <c r="A20" s="359"/>
      <c r="B20" s="365"/>
      <c r="C20" s="178" t="s">
        <v>112</v>
      </c>
      <c r="D20" s="189"/>
      <c r="E20" s="161">
        <f>IF($I$1="Yeni",'yerleşme puanlar'!D20,'yerleşme puanlar'!E20)</f>
        <v>5</v>
      </c>
    </row>
    <row r="21" spans="1:14" ht="15.75" x14ac:dyDescent="0.25">
      <c r="A21" s="359"/>
      <c r="B21" s="364" t="s">
        <v>113</v>
      </c>
      <c r="C21" s="114" t="s">
        <v>114</v>
      </c>
      <c r="D21" s="186"/>
      <c r="E21" s="162">
        <f>IF($I$1="Yeni",'yerleşme puanlar'!D21,'yerleşme puanlar'!E21)</f>
        <v>5</v>
      </c>
    </row>
    <row r="22" spans="1:14" ht="15.75" x14ac:dyDescent="0.25">
      <c r="A22" s="359"/>
      <c r="B22" s="366"/>
      <c r="C22" s="115" t="s">
        <v>115</v>
      </c>
      <c r="D22" s="187"/>
      <c r="E22" s="159">
        <f>IF($I$1="Yeni",'yerleşme puanlar'!D22,'yerleşme puanlar'!E22)</f>
        <v>5</v>
      </c>
    </row>
    <row r="23" spans="1:14" ht="16.5" thickBot="1" x14ac:dyDescent="0.3">
      <c r="A23" s="360"/>
      <c r="B23" s="365"/>
      <c r="C23" s="178" t="s">
        <v>116</v>
      </c>
      <c r="D23" s="189"/>
      <c r="E23" s="161">
        <f>IF($I$1="Yeni",'yerleşme puanlar'!D23,'yerleşme puanlar'!E23)</f>
        <v>5</v>
      </c>
    </row>
    <row r="24" spans="1:14" ht="15.75" x14ac:dyDescent="0.25">
      <c r="A24" s="370" t="s">
        <v>34</v>
      </c>
      <c r="B24" s="371"/>
      <c r="C24" s="371"/>
      <c r="D24" s="180">
        <f>SUM(D10:D23)</f>
        <v>0</v>
      </c>
      <c r="E24" s="162">
        <f>SUM(E10:E23)</f>
        <v>100</v>
      </c>
      <c r="K24" s="143" t="s">
        <v>201</v>
      </c>
      <c r="L24" s="143" t="s">
        <v>202</v>
      </c>
      <c r="M24" s="143" t="s">
        <v>203</v>
      </c>
      <c r="N24" s="143" t="s">
        <v>204</v>
      </c>
    </row>
    <row r="25" spans="1:14" s="86" customFormat="1" ht="16.5" thickBot="1" x14ac:dyDescent="0.3">
      <c r="A25" s="372"/>
      <c r="B25" s="373"/>
      <c r="C25" s="373"/>
      <c r="D25" s="179">
        <f>D24*E25/100</f>
        <v>0</v>
      </c>
      <c r="E25" s="161">
        <f>E24*0.26</f>
        <v>26</v>
      </c>
      <c r="K25" s="125">
        <f>IF(AND(D10="Evet",D13="Evet",D14="Evet",SUM(D11:D12)&gt;0,SUM(D15:D16)&gt;0),1,0)</f>
        <v>0</v>
      </c>
      <c r="L25" s="125">
        <f>IF(AND(D10="Evet",D13="Evet",D14="Evet",SUM(D11:D12)&gt;0,SUM(D15:D16)&gt;0,SUM(D17:D18)&gt;0),1,0)</f>
        <v>0</v>
      </c>
      <c r="M25" s="125">
        <f>IF(AND(D10="Evet",D13="Evet",D14="Evet",SUM(D11:D12)&gt;0,SUM(D15:D16)&gt;0,SUM(D17:D18)&gt;0,SUM(D19:D20)&gt;0),1,0)</f>
        <v>0</v>
      </c>
      <c r="N25" s="125">
        <f>IF(AND(D10="Evet",D13="Evet",D14="Evet",SUM(D11:D12)&gt;0,SUM(D15:D16)&gt;0,SUM(D17:D18)&gt;0,SUM(D19:D20)&gt;0,SUM(D21:D23)&gt;0),1,0)</f>
        <v>0</v>
      </c>
    </row>
    <row r="26" spans="1:14" s="86" customFormat="1" ht="21.75" thickBot="1" x14ac:dyDescent="0.3">
      <c r="A26" s="9"/>
      <c r="B26" s="23"/>
      <c r="C26" s="93"/>
      <c r="D26" s="150"/>
      <c r="E26" s="150"/>
    </row>
    <row r="27" spans="1:14" ht="15.75" x14ac:dyDescent="0.25">
      <c r="A27" s="374" t="s">
        <v>117</v>
      </c>
      <c r="B27" s="377" t="s">
        <v>118</v>
      </c>
      <c r="C27" s="171" t="s">
        <v>119</v>
      </c>
      <c r="D27" s="186" t="s">
        <v>218</v>
      </c>
      <c r="E27" s="158" t="str">
        <f>IF($I$1="Yeni",'yerleşme puanlar'!D27,'yerleşme puanlar'!E27)</f>
        <v>Z</v>
      </c>
    </row>
    <row r="28" spans="1:14" ht="31.5" x14ac:dyDescent="0.25">
      <c r="A28" s="375"/>
      <c r="B28" s="378"/>
      <c r="C28" s="172" t="s">
        <v>120</v>
      </c>
      <c r="D28" s="187"/>
      <c r="E28" s="159">
        <f>IF($I$1="Yeni",'yerleşme puanlar'!D28,'yerleşme puanlar'!E28)</f>
        <v>4</v>
      </c>
    </row>
    <row r="29" spans="1:14" ht="15.75" x14ac:dyDescent="0.25">
      <c r="A29" s="375"/>
      <c r="B29" s="378"/>
      <c r="C29" s="172" t="s">
        <v>121</v>
      </c>
      <c r="D29" s="195"/>
      <c r="E29" s="159">
        <f>IF($I$1="Yeni",'yerleşme puanlar'!D29,'yerleşme puanlar'!E29)</f>
        <v>5</v>
      </c>
    </row>
    <row r="30" spans="1:14" ht="31.5" x14ac:dyDescent="0.25">
      <c r="A30" s="375"/>
      <c r="B30" s="378"/>
      <c r="C30" s="172" t="s">
        <v>122</v>
      </c>
      <c r="D30" s="195"/>
      <c r="E30" s="159">
        <f>IF($I$1="Yeni",'yerleşme puanlar'!D30,'yerleşme puanlar'!E30)</f>
        <v>5</v>
      </c>
    </row>
    <row r="31" spans="1:14" ht="31.5" x14ac:dyDescent="0.25">
      <c r="A31" s="375"/>
      <c r="B31" s="378"/>
      <c r="C31" s="172" t="s">
        <v>123</v>
      </c>
      <c r="D31" s="195"/>
      <c r="E31" s="159">
        <f>IF($I$1="Yeni",'yerleşme puanlar'!D31,'yerleşme puanlar'!E31)</f>
        <v>4</v>
      </c>
    </row>
    <row r="32" spans="1:14" ht="15.75" x14ac:dyDescent="0.25">
      <c r="A32" s="375"/>
      <c r="B32" s="378"/>
      <c r="C32" s="172" t="s">
        <v>188</v>
      </c>
      <c r="D32" s="195"/>
      <c r="E32" s="159">
        <f>IF($I$1="Yeni",'yerleşme puanlar'!D32,'yerleşme puanlar'!E32)</f>
        <v>4</v>
      </c>
    </row>
    <row r="33" spans="1:14" ht="32.25" thickBot="1" x14ac:dyDescent="0.3">
      <c r="A33" s="375"/>
      <c r="B33" s="379"/>
      <c r="C33" s="173" t="s">
        <v>235</v>
      </c>
      <c r="D33" s="196"/>
      <c r="E33" s="161">
        <f>IF($I$1="Yeni",'yerleşme puanlar'!D33,'yerleşme puanlar'!E33)</f>
        <v>5</v>
      </c>
    </row>
    <row r="34" spans="1:14" ht="31.5" x14ac:dyDescent="0.25">
      <c r="A34" s="376"/>
      <c r="B34" s="377" t="s">
        <v>124</v>
      </c>
      <c r="C34" s="174" t="s">
        <v>125</v>
      </c>
      <c r="D34" s="186" t="s">
        <v>218</v>
      </c>
      <c r="E34" s="162" t="str">
        <f>IF($I$1="Yeni",'yerleşme puanlar'!D34,'yerleşme puanlar'!E34)</f>
        <v>Z</v>
      </c>
    </row>
    <row r="35" spans="1:14" ht="15.75" x14ac:dyDescent="0.25">
      <c r="A35" s="376"/>
      <c r="B35" s="378"/>
      <c r="C35" s="175" t="s">
        <v>236</v>
      </c>
      <c r="D35" s="187"/>
      <c r="E35" s="159">
        <f>IF($I$1="Yeni",'yerleşme puanlar'!D35,'yerleşme puanlar'!E35)</f>
        <v>10</v>
      </c>
    </row>
    <row r="36" spans="1:14" ht="15.75" x14ac:dyDescent="0.25">
      <c r="A36" s="376"/>
      <c r="B36" s="378"/>
      <c r="C36" s="175" t="s">
        <v>126</v>
      </c>
      <c r="D36" s="187"/>
      <c r="E36" s="159">
        <f>IF($I$1="Yeni",'yerleşme puanlar'!D36,'yerleşme puanlar'!E36)</f>
        <v>6</v>
      </c>
    </row>
    <row r="37" spans="1:14" ht="32.25" thickBot="1" x14ac:dyDescent="0.3">
      <c r="A37" s="376"/>
      <c r="B37" s="379"/>
      <c r="C37" s="176" t="s">
        <v>127</v>
      </c>
      <c r="D37" s="189"/>
      <c r="E37" s="161">
        <f>IF($I$1="Yeni",'yerleşme puanlar'!D37,'yerleşme puanlar'!E37)</f>
        <v>8</v>
      </c>
    </row>
    <row r="38" spans="1:14" ht="31.5" x14ac:dyDescent="0.25">
      <c r="A38" s="376"/>
      <c r="B38" s="377" t="s">
        <v>128</v>
      </c>
      <c r="C38" s="174" t="s">
        <v>129</v>
      </c>
      <c r="D38" s="186"/>
      <c r="E38" s="162">
        <f>IF($I$1="Yeni",'yerleşme puanlar'!D38,'yerleşme puanlar'!E38)</f>
        <v>8</v>
      </c>
    </row>
    <row r="39" spans="1:14" ht="31.5" x14ac:dyDescent="0.25">
      <c r="A39" s="376"/>
      <c r="B39" s="378"/>
      <c r="C39" s="175" t="s">
        <v>237</v>
      </c>
      <c r="D39" s="187"/>
      <c r="E39" s="159">
        <f>IF($I$1="Yeni",'yerleşme puanlar'!D39,'yerleşme puanlar'!E39)</f>
        <v>8</v>
      </c>
    </row>
    <row r="40" spans="1:14" ht="31.5" x14ac:dyDescent="0.25">
      <c r="A40" s="376"/>
      <c r="B40" s="378"/>
      <c r="C40" s="175" t="s">
        <v>130</v>
      </c>
      <c r="D40" s="187"/>
      <c r="E40" s="159">
        <f>IF($I$1="Yeni",'yerleşme puanlar'!D40,'yerleşme puanlar'!E40)</f>
        <v>8</v>
      </c>
    </row>
    <row r="41" spans="1:14" ht="32.25" thickBot="1" x14ac:dyDescent="0.3">
      <c r="A41" s="376"/>
      <c r="B41" s="379"/>
      <c r="C41" s="176" t="s">
        <v>131</v>
      </c>
      <c r="D41" s="189"/>
      <c r="E41" s="161">
        <f>IF($I$1="Yeni",'yerleşme puanlar'!D41,'yerleşme puanlar'!E41)</f>
        <v>5</v>
      </c>
    </row>
    <row r="42" spans="1:14" ht="15.75" x14ac:dyDescent="0.25">
      <c r="A42" s="376"/>
      <c r="B42" s="377" t="s">
        <v>132</v>
      </c>
      <c r="C42" s="174" t="s">
        <v>133</v>
      </c>
      <c r="D42" s="190"/>
      <c r="E42" s="162">
        <f>IF($I$1="Yeni",'yerleşme puanlar'!D42,'yerleşme puanlar'!E42)</f>
        <v>4</v>
      </c>
    </row>
    <row r="43" spans="1:14" ht="15.75" x14ac:dyDescent="0.25">
      <c r="A43" s="376"/>
      <c r="B43" s="378"/>
      <c r="C43" s="175" t="s">
        <v>134</v>
      </c>
      <c r="D43" s="195"/>
      <c r="E43" s="159">
        <f>IF($I$1="Yeni",'yerleşme puanlar'!D43,'yerleşme puanlar'!E43)</f>
        <v>3</v>
      </c>
    </row>
    <row r="44" spans="1:14" ht="15.75" x14ac:dyDescent="0.25">
      <c r="A44" s="376"/>
      <c r="B44" s="378"/>
      <c r="C44" s="175" t="s">
        <v>240</v>
      </c>
      <c r="D44" s="195"/>
      <c r="E44" s="159">
        <f>IF($I$1="Yeni",'yerleşme puanlar'!D44,'yerleşme puanlar'!E44)</f>
        <v>3</v>
      </c>
    </row>
    <row r="45" spans="1:14" ht="15.75" x14ac:dyDescent="0.25">
      <c r="A45" s="376"/>
      <c r="B45" s="378"/>
      <c r="C45" s="175" t="s">
        <v>135</v>
      </c>
      <c r="D45" s="195"/>
      <c r="E45" s="159">
        <f>IF($I$1="Yeni",'yerleşme puanlar'!D45,'yerleşme puanlar'!E45)</f>
        <v>3</v>
      </c>
    </row>
    <row r="46" spans="1:14" ht="15.75" x14ac:dyDescent="0.25">
      <c r="A46" s="376"/>
      <c r="B46" s="378"/>
      <c r="C46" s="175" t="s">
        <v>239</v>
      </c>
      <c r="D46" s="195"/>
      <c r="E46" s="159">
        <f>IF($I$1="Yeni",'yerleşme puanlar'!D46,'yerleşme puanlar'!E46)</f>
        <v>4</v>
      </c>
    </row>
    <row r="47" spans="1:14" ht="16.5" thickBot="1" x14ac:dyDescent="0.3">
      <c r="A47" s="376"/>
      <c r="B47" s="379"/>
      <c r="C47" s="177" t="s">
        <v>238</v>
      </c>
      <c r="D47" s="191"/>
      <c r="E47" s="161">
        <f>IF($I$1="Yeni",'yerleşme puanlar'!D47,'yerleşme puanlar'!E47)</f>
        <v>3</v>
      </c>
    </row>
    <row r="48" spans="1:14" ht="15.75" x14ac:dyDescent="0.25">
      <c r="A48" s="406" t="s">
        <v>34</v>
      </c>
      <c r="B48" s="407"/>
      <c r="C48" s="408"/>
      <c r="D48" s="184">
        <f>SUM(D27:D47)</f>
        <v>0</v>
      </c>
      <c r="E48" s="162">
        <f>SUM(E27:E47)</f>
        <v>100</v>
      </c>
      <c r="K48" s="143" t="s">
        <v>201</v>
      </c>
      <c r="L48" s="143" t="s">
        <v>202</v>
      </c>
      <c r="M48" s="143" t="s">
        <v>203</v>
      </c>
      <c r="N48" s="143" t="s">
        <v>204</v>
      </c>
    </row>
    <row r="49" spans="1:14" s="86" customFormat="1" ht="16.5" thickBot="1" x14ac:dyDescent="0.3">
      <c r="A49" s="409"/>
      <c r="B49" s="410"/>
      <c r="C49" s="410"/>
      <c r="D49" s="185">
        <f>D48*E49/100</f>
        <v>0</v>
      </c>
      <c r="E49" s="161">
        <f>E48*0.25</f>
        <v>25</v>
      </c>
      <c r="K49" s="125">
        <f>IF(AND(D27="Evet",D34="Evet",SUM(D28:D33)&gt;0),1,0)</f>
        <v>0</v>
      </c>
      <c r="L49" s="125">
        <f>IF(AND(D27="Evet",D34="Evet",SUM(D28:D33)&gt;0,SUM(D35:D37)&gt;0),1,0)</f>
        <v>0</v>
      </c>
      <c r="M49" s="125">
        <f>IF(AND(D27="Evet",D34="Evet",SUM(D28:D33)&gt;0,SUM(D35:D37)&gt;0,SUM(D38:D41)&gt;0),1,0)</f>
        <v>0</v>
      </c>
      <c r="N49" s="125">
        <f>IF(AND(D27="Evet",D34="Evet",SUM(D28:D33)&gt;0,SUM(D35:D37)&gt;0,SUM(D38:D41)&gt;0,SUM(D42:D47)&gt;0),1,0)</f>
        <v>0</v>
      </c>
    </row>
    <row r="50" spans="1:14" s="86" customFormat="1" ht="21.75" thickBot="1" x14ac:dyDescent="0.3">
      <c r="A50" s="9"/>
      <c r="B50" s="23"/>
      <c r="C50" s="93"/>
      <c r="D50" s="116"/>
      <c r="E50" s="116"/>
    </row>
    <row r="51" spans="1:14" ht="31.5" x14ac:dyDescent="0.25">
      <c r="A51" s="411" t="s">
        <v>136</v>
      </c>
      <c r="B51" s="367" t="s">
        <v>137</v>
      </c>
      <c r="C51" s="165" t="s">
        <v>138</v>
      </c>
      <c r="D51" s="193"/>
      <c r="E51" s="168">
        <f>IF($I$1="Yeni",'yerleşme puanlar'!D51,'yerleşme puanlar'!E51)</f>
        <v>6</v>
      </c>
    </row>
    <row r="52" spans="1:14" ht="16.5" customHeight="1" x14ac:dyDescent="0.25">
      <c r="A52" s="412"/>
      <c r="B52" s="368"/>
      <c r="C52" s="166" t="s">
        <v>139</v>
      </c>
      <c r="D52" s="188"/>
      <c r="E52" s="160">
        <f>IF($I$1="Yeni",'yerleşme puanlar'!D52,'yerleşme puanlar'!E52)</f>
        <v>8</v>
      </c>
    </row>
    <row r="53" spans="1:14" ht="16.5" customHeight="1" thickBot="1" x14ac:dyDescent="0.3">
      <c r="A53" s="412"/>
      <c r="B53" s="369"/>
      <c r="C53" s="167" t="s">
        <v>140</v>
      </c>
      <c r="D53" s="194"/>
      <c r="E53" s="169">
        <f>IF($I$1="Yeni",'yerleşme puanlar'!D53,'yerleşme puanlar'!E53)</f>
        <v>4</v>
      </c>
    </row>
    <row r="54" spans="1:14" ht="16.5" customHeight="1" x14ac:dyDescent="0.25">
      <c r="A54" s="412"/>
      <c r="B54" s="367" t="s">
        <v>141</v>
      </c>
      <c r="C54" s="165" t="s">
        <v>142</v>
      </c>
      <c r="D54" s="193"/>
      <c r="E54" s="170">
        <f>IF($I$1="Yeni",'yerleşme puanlar'!D54,'yerleşme puanlar'!E54)</f>
        <v>8</v>
      </c>
    </row>
    <row r="55" spans="1:14" ht="16.5" customHeight="1" x14ac:dyDescent="0.25">
      <c r="A55" s="412"/>
      <c r="B55" s="368"/>
      <c r="C55" s="166" t="s">
        <v>241</v>
      </c>
      <c r="D55" s="188"/>
      <c r="E55" s="160">
        <f>IF($I$1="Yeni",'yerleşme puanlar'!D55,'yerleşme puanlar'!E55)</f>
        <v>3</v>
      </c>
    </row>
    <row r="56" spans="1:14" ht="16.5" customHeight="1" thickBot="1" x14ac:dyDescent="0.3">
      <c r="A56" s="412"/>
      <c r="B56" s="369"/>
      <c r="C56" s="167" t="s">
        <v>143</v>
      </c>
      <c r="D56" s="194"/>
      <c r="E56" s="169">
        <f>IF($I$1="Yeni",'yerleşme puanlar'!D56,'yerleşme puanlar'!E56)</f>
        <v>5</v>
      </c>
    </row>
    <row r="57" spans="1:14" ht="16.5" customHeight="1" x14ac:dyDescent="0.25">
      <c r="A57" s="412"/>
      <c r="B57" s="367" t="s">
        <v>144</v>
      </c>
      <c r="C57" s="165" t="s">
        <v>145</v>
      </c>
      <c r="D57" s="186"/>
      <c r="E57" s="162">
        <f>IF($I$1="Yeni",'yerleşme puanlar'!D57,'yerleşme puanlar'!E57)</f>
        <v>6</v>
      </c>
    </row>
    <row r="58" spans="1:14" ht="16.5" customHeight="1" x14ac:dyDescent="0.25">
      <c r="A58" s="412"/>
      <c r="B58" s="368"/>
      <c r="C58" s="166" t="s">
        <v>146</v>
      </c>
      <c r="D58" s="187"/>
      <c r="E58" s="159">
        <f>IF($I$1="Yeni",'yerleşme puanlar'!D58,'yerleşme puanlar'!E58)</f>
        <v>8</v>
      </c>
    </row>
    <row r="59" spans="1:14" ht="16.5" customHeight="1" thickBot="1" x14ac:dyDescent="0.3">
      <c r="A59" s="412"/>
      <c r="B59" s="369"/>
      <c r="C59" s="167" t="s">
        <v>147</v>
      </c>
      <c r="D59" s="189"/>
      <c r="E59" s="161">
        <f>IF($I$1="Yeni",'yerleşme puanlar'!D59,'yerleşme puanlar'!E59)</f>
        <v>3</v>
      </c>
    </row>
    <row r="60" spans="1:14" ht="16.5" customHeight="1" x14ac:dyDescent="0.25">
      <c r="A60" s="412"/>
      <c r="B60" s="414" t="s">
        <v>148</v>
      </c>
      <c r="C60" s="165" t="s">
        <v>149</v>
      </c>
      <c r="D60" s="193"/>
      <c r="E60" s="170">
        <f>IF($I$1="Yeni",'yerleşme puanlar'!D60,'yerleşme puanlar'!E60)</f>
        <v>5</v>
      </c>
    </row>
    <row r="61" spans="1:14" ht="16.5" customHeight="1" thickBot="1" x14ac:dyDescent="0.3">
      <c r="A61" s="412"/>
      <c r="B61" s="415"/>
      <c r="C61" s="167" t="s">
        <v>150</v>
      </c>
      <c r="D61" s="194"/>
      <c r="E61" s="169">
        <f>IF($I$1="Yeni",'yerleşme puanlar'!D61,'yerleşme puanlar'!E61)</f>
        <v>5</v>
      </c>
    </row>
    <row r="62" spans="1:14" ht="16.5" customHeight="1" x14ac:dyDescent="0.25">
      <c r="A62" s="412"/>
      <c r="B62" s="367" t="s">
        <v>151</v>
      </c>
      <c r="C62" s="165" t="s">
        <v>152</v>
      </c>
      <c r="D62" s="193"/>
      <c r="E62" s="170">
        <f>IF($I$1="Yeni",'yerleşme puanlar'!D62,'yerleşme puanlar'!E62)</f>
        <v>2</v>
      </c>
    </row>
    <row r="63" spans="1:14" ht="16.5" customHeight="1" x14ac:dyDescent="0.25">
      <c r="A63" s="412"/>
      <c r="B63" s="368"/>
      <c r="C63" s="166" t="s">
        <v>160</v>
      </c>
      <c r="D63" s="188" t="s">
        <v>218</v>
      </c>
      <c r="E63" s="160" t="str">
        <f>IF($I$1="Yeni",'yerleşme puanlar'!D63,'yerleşme puanlar'!E63)</f>
        <v>Z</v>
      </c>
    </row>
    <row r="64" spans="1:14" ht="16.5" customHeight="1" thickBot="1" x14ac:dyDescent="0.3">
      <c r="A64" s="412"/>
      <c r="B64" s="369"/>
      <c r="C64" s="167" t="s">
        <v>161</v>
      </c>
      <c r="D64" s="194"/>
      <c r="E64" s="169">
        <f>IF($I$1="Yeni",'yerleşme puanlar'!D64,'yerleşme puanlar'!E64)</f>
        <v>2</v>
      </c>
    </row>
    <row r="65" spans="1:14" s="86" customFormat="1" ht="16.5" customHeight="1" x14ac:dyDescent="0.25">
      <c r="A65" s="412"/>
      <c r="B65" s="367" t="s">
        <v>153</v>
      </c>
      <c r="C65" s="165" t="s">
        <v>154</v>
      </c>
      <c r="D65" s="193"/>
      <c r="E65" s="170">
        <f>IF($I$1="Yeni",'yerleşme puanlar'!D65,'yerleşme puanlar'!E65)</f>
        <v>7</v>
      </c>
    </row>
    <row r="66" spans="1:14" s="86" customFormat="1" ht="16.5" customHeight="1" x14ac:dyDescent="0.25">
      <c r="A66" s="412"/>
      <c r="B66" s="368"/>
      <c r="C66" s="166" t="s">
        <v>155</v>
      </c>
      <c r="D66" s="187"/>
      <c r="E66" s="159">
        <f>IF($I$1="Yeni",'yerleşme puanlar'!D66,'yerleşme puanlar'!E66)</f>
        <v>8</v>
      </c>
    </row>
    <row r="67" spans="1:14" ht="16.5" customHeight="1" x14ac:dyDescent="0.25">
      <c r="A67" s="412"/>
      <c r="B67" s="368"/>
      <c r="C67" s="166" t="s">
        <v>156</v>
      </c>
      <c r="D67" s="187"/>
      <c r="E67" s="159">
        <f>IF($I$1="Yeni",'yerleşme puanlar'!D67,'yerleşme puanlar'!E67)</f>
        <v>5</v>
      </c>
    </row>
    <row r="68" spans="1:14" ht="16.5" customHeight="1" x14ac:dyDescent="0.25">
      <c r="A68" s="412"/>
      <c r="B68" s="368"/>
      <c r="C68" s="166" t="s">
        <v>157</v>
      </c>
      <c r="D68" s="187"/>
      <c r="E68" s="159">
        <f>IF($I$1="Yeni",'yerleşme puanlar'!D68,'yerleşme puanlar'!E68)</f>
        <v>5</v>
      </c>
    </row>
    <row r="69" spans="1:14" ht="15.75" customHeight="1" x14ac:dyDescent="0.25">
      <c r="A69" s="412"/>
      <c r="B69" s="368"/>
      <c r="C69" s="166" t="s">
        <v>158</v>
      </c>
      <c r="D69" s="187"/>
      <c r="E69" s="159">
        <f>IF($I$1="Yeni",'yerleşme puanlar'!D69,'yerleşme puanlar'!E69)</f>
        <v>5</v>
      </c>
    </row>
    <row r="70" spans="1:14" ht="16.5" customHeight="1" thickBot="1" x14ac:dyDescent="0.3">
      <c r="A70" s="413"/>
      <c r="B70" s="369"/>
      <c r="C70" s="167" t="s">
        <v>159</v>
      </c>
      <c r="D70" s="189"/>
      <c r="E70" s="161">
        <f>IF($I$1="Yeni",'yerleşme puanlar'!D70,'yerleşme puanlar'!E70)</f>
        <v>5</v>
      </c>
    </row>
    <row r="71" spans="1:14" ht="15.75" customHeight="1" x14ac:dyDescent="0.25">
      <c r="A71" s="386" t="s">
        <v>34</v>
      </c>
      <c r="B71" s="387"/>
      <c r="C71" s="387"/>
      <c r="D71" s="180">
        <f>SUM(D51:D70)</f>
        <v>0</v>
      </c>
      <c r="E71" s="162">
        <f>SUM(E51:E70)</f>
        <v>100</v>
      </c>
      <c r="K71" s="143" t="s">
        <v>201</v>
      </c>
      <c r="L71" s="143" t="s">
        <v>202</v>
      </c>
      <c r="M71" s="143" t="s">
        <v>203</v>
      </c>
      <c r="N71" s="143" t="s">
        <v>204</v>
      </c>
    </row>
    <row r="72" spans="1:14" ht="16.5" thickBot="1" x14ac:dyDescent="0.3">
      <c r="A72" s="388"/>
      <c r="B72" s="389"/>
      <c r="C72" s="389"/>
      <c r="D72" s="117">
        <f>D71*E72/100</f>
        <v>0</v>
      </c>
      <c r="E72" s="161">
        <f>E71*0.21</f>
        <v>21</v>
      </c>
      <c r="K72" s="125">
        <v>1</v>
      </c>
      <c r="L72" s="125">
        <f>IF(AND(D63="Evet",SUM(D51:D53)&gt;0,SUM(D54:D56)&gt;0,SUM(D57:D59)&gt;0,SUM(D60:D61)&gt;0),1,0)</f>
        <v>0</v>
      </c>
      <c r="M72" s="125">
        <f>IF(AND(D63="Evet",SUM(D51:D53)&gt;0,SUM(D54:D56)&gt;0,SUM(D57:D59)&gt;0,SUM(D60:D61)&gt;0,SUM(D62,D64)&gt;0),1,0)</f>
        <v>0</v>
      </c>
      <c r="N72" s="125">
        <f>IF(AND(D63="Evet",SUM(D51:D53)&gt;0,SUM(D54:D56)&gt;0,SUM(D57:D59)&gt;0,SUM(D60:D61)&gt;0,SUM(D62,D64)&gt;0,SUM(D65:D70)&gt;0),1,0)</f>
        <v>0</v>
      </c>
    </row>
    <row r="73" spans="1:14" ht="21.75" thickBot="1" x14ac:dyDescent="0.3">
      <c r="A73" s="9"/>
      <c r="B73" s="23"/>
      <c r="C73" s="93"/>
      <c r="D73" s="116"/>
      <c r="E73" s="116"/>
    </row>
    <row r="74" spans="1:14" ht="15.75" customHeight="1" x14ac:dyDescent="0.25">
      <c r="A74" s="390" t="s">
        <v>162</v>
      </c>
      <c r="B74" s="393" t="s">
        <v>163</v>
      </c>
      <c r="C74" s="154" t="s">
        <v>165</v>
      </c>
      <c r="D74" s="186"/>
      <c r="E74" s="158">
        <f>IF($I$1="Yeni",'yerleşme puanlar'!D74,'yerleşme puanlar'!E74)</f>
        <v>14</v>
      </c>
    </row>
    <row r="75" spans="1:14" ht="15.75" customHeight="1" x14ac:dyDescent="0.25">
      <c r="A75" s="391"/>
      <c r="B75" s="394"/>
      <c r="C75" s="155" t="s">
        <v>242</v>
      </c>
      <c r="D75" s="187"/>
      <c r="E75" s="159">
        <f>IF($I$1="Yeni",'yerleşme puanlar'!D75,'yerleşme puanlar'!E75)</f>
        <v>10</v>
      </c>
    </row>
    <row r="76" spans="1:14" ht="15.75" customHeight="1" x14ac:dyDescent="0.25">
      <c r="A76" s="391"/>
      <c r="B76" s="394"/>
      <c r="C76" s="155" t="s">
        <v>166</v>
      </c>
      <c r="D76" s="188"/>
      <c r="E76" s="160">
        <f>IF($I$1="Yeni",'yerleşme puanlar'!D76,'yerleşme puanlar'!E76)</f>
        <v>6</v>
      </c>
    </row>
    <row r="77" spans="1:14" s="86" customFormat="1" ht="15.75" customHeight="1" x14ac:dyDescent="0.25">
      <c r="A77" s="391"/>
      <c r="B77" s="394"/>
      <c r="C77" s="155" t="s">
        <v>167</v>
      </c>
      <c r="D77" s="187"/>
      <c r="E77" s="159">
        <f>IF($I$1="Yeni",'yerleşme puanlar'!D77,'yerleşme puanlar'!E77)</f>
        <v>6</v>
      </c>
      <c r="H77" s="75"/>
      <c r="I77" s="75"/>
    </row>
    <row r="78" spans="1:14" s="86" customFormat="1" ht="15.75" customHeight="1" x14ac:dyDescent="0.25">
      <c r="A78" s="391"/>
      <c r="B78" s="394"/>
      <c r="C78" s="155" t="s">
        <v>168</v>
      </c>
      <c r="D78" s="187"/>
      <c r="E78" s="159">
        <f>IF($I$1="Yeni",'yerleşme puanlar'!D78,'yerleşme puanlar'!E78)</f>
        <v>8</v>
      </c>
      <c r="H78" s="75"/>
      <c r="I78" s="75"/>
    </row>
    <row r="79" spans="1:14" ht="15.75" customHeight="1" x14ac:dyDescent="0.25">
      <c r="A79" s="391"/>
      <c r="B79" s="394"/>
      <c r="C79" s="155" t="s">
        <v>169</v>
      </c>
      <c r="D79" s="187"/>
      <c r="E79" s="159">
        <f>IF($I$1="Yeni",'yerleşme puanlar'!D79,'yerleşme puanlar'!E79)</f>
        <v>7</v>
      </c>
    </row>
    <row r="80" spans="1:14" ht="21" customHeight="1" x14ac:dyDescent="0.25">
      <c r="A80" s="391"/>
      <c r="B80" s="394"/>
      <c r="C80" s="155" t="s">
        <v>170</v>
      </c>
      <c r="D80" s="188"/>
      <c r="E80" s="160">
        <f>IF($I$1="Yeni",'yerleşme puanlar'!D80,'yerleşme puanlar'!E80)</f>
        <v>6</v>
      </c>
    </row>
    <row r="81" spans="1:14" ht="16.5" customHeight="1" thickBot="1" x14ac:dyDescent="0.3">
      <c r="A81" s="391"/>
      <c r="B81" s="395"/>
      <c r="C81" s="156" t="s">
        <v>171</v>
      </c>
      <c r="D81" s="189"/>
      <c r="E81" s="161">
        <f>IF($I$1="Yeni",'yerleşme puanlar'!D81,'yerleşme puanlar'!E81)</f>
        <v>6</v>
      </c>
    </row>
    <row r="82" spans="1:14" ht="15.75" customHeight="1" x14ac:dyDescent="0.25">
      <c r="A82" s="391"/>
      <c r="B82" s="393" t="s">
        <v>164</v>
      </c>
      <c r="C82" s="154" t="s">
        <v>243</v>
      </c>
      <c r="D82" s="186"/>
      <c r="E82" s="162">
        <f>IF($I$1="Yeni",'yerleşme puanlar'!D82,'yerleşme puanlar'!E82)</f>
        <v>10</v>
      </c>
    </row>
    <row r="83" spans="1:14" ht="16.5" customHeight="1" x14ac:dyDescent="0.25">
      <c r="A83" s="391"/>
      <c r="B83" s="394"/>
      <c r="C83" s="155" t="s">
        <v>172</v>
      </c>
      <c r="D83" s="187"/>
      <c r="E83" s="159">
        <f>IF($I$1="Yeni",'yerleşme puanlar'!D83,'yerleşme puanlar'!E83)</f>
        <v>20</v>
      </c>
    </row>
    <row r="84" spans="1:14" ht="16.5" thickBot="1" x14ac:dyDescent="0.3">
      <c r="A84" s="392"/>
      <c r="B84" s="395"/>
      <c r="C84" s="157" t="s">
        <v>173</v>
      </c>
      <c r="D84" s="189"/>
      <c r="E84" s="161">
        <f>IF($I$1="Yeni",'yerleşme puanlar'!D84,'yerleşme puanlar'!E84)</f>
        <v>7</v>
      </c>
    </row>
    <row r="85" spans="1:14" ht="15.75" x14ac:dyDescent="0.25">
      <c r="A85" s="396" t="s">
        <v>34</v>
      </c>
      <c r="B85" s="397"/>
      <c r="C85" s="398"/>
      <c r="D85" s="180">
        <f>SUM(D74:D84)</f>
        <v>0</v>
      </c>
      <c r="E85" s="162">
        <f>SUM(E74:E84)</f>
        <v>100</v>
      </c>
      <c r="K85" s="143" t="s">
        <v>201</v>
      </c>
      <c r="L85" s="143" t="s">
        <v>202</v>
      </c>
      <c r="M85" s="143" t="s">
        <v>203</v>
      </c>
      <c r="N85" s="143" t="s">
        <v>204</v>
      </c>
    </row>
    <row r="86" spans="1:14" ht="16.5" thickBot="1" x14ac:dyDescent="0.3">
      <c r="A86" s="399"/>
      <c r="B86" s="400"/>
      <c r="C86" s="400"/>
      <c r="D86" s="185">
        <f>D85*E86/100</f>
        <v>0</v>
      </c>
      <c r="E86" s="161">
        <f>E85*0.2</f>
        <v>20</v>
      </c>
      <c r="K86" s="125">
        <f>IF(AND(SUM(D74:D81)&gt;0),1,0)</f>
        <v>0</v>
      </c>
      <c r="L86" s="125">
        <f>IF(AND(SUM(D74:D81)&gt;0),1,0)</f>
        <v>0</v>
      </c>
      <c r="M86" s="125">
        <f>IF(AND(SUM(D74:D81)&gt;0),1,0)</f>
        <v>0</v>
      </c>
      <c r="N86" s="125">
        <f>IF(AND(SUM(D74:D81)&gt;0,SUM(D82:D84)&gt;0),1,0)</f>
        <v>0</v>
      </c>
    </row>
    <row r="87" spans="1:14" ht="21.75" thickBot="1" x14ac:dyDescent="0.3">
      <c r="A87" s="9"/>
      <c r="B87" s="23"/>
      <c r="C87" s="93"/>
      <c r="D87" s="116"/>
      <c r="E87" s="116"/>
    </row>
    <row r="88" spans="1:14" ht="31.5" x14ac:dyDescent="0.25">
      <c r="A88" s="401" t="s">
        <v>89</v>
      </c>
      <c r="B88" s="404" t="s">
        <v>174</v>
      </c>
      <c r="C88" s="68" t="s">
        <v>175</v>
      </c>
      <c r="D88" s="190"/>
      <c r="E88" s="158">
        <f>IF($I$1="Yeni",'yerleşme puanlar'!D88,'yerleşme puanlar'!E88)</f>
        <v>25</v>
      </c>
    </row>
    <row r="89" spans="1:14" ht="48" thickBot="1" x14ac:dyDescent="0.3">
      <c r="A89" s="402"/>
      <c r="B89" s="405"/>
      <c r="C89" s="69" t="s">
        <v>176</v>
      </c>
      <c r="D89" s="191"/>
      <c r="E89" s="161">
        <f>IF($I$1="Yeni",'yerleşme puanlar'!D89,'yerleşme puanlar'!E89)</f>
        <v>25</v>
      </c>
    </row>
    <row r="90" spans="1:14" ht="48" thickBot="1" x14ac:dyDescent="0.3">
      <c r="A90" s="403"/>
      <c r="B90" s="30" t="s">
        <v>93</v>
      </c>
      <c r="C90" s="163" t="s">
        <v>177</v>
      </c>
      <c r="D90" s="192"/>
      <c r="E90" s="164">
        <f>IF($I$1="Yeni",'yerleşme puanlar'!D90,'yerleşme puanlar'!E90)</f>
        <v>50</v>
      </c>
    </row>
    <row r="91" spans="1:14" ht="15.75" x14ac:dyDescent="0.25">
      <c r="A91" s="380" t="s">
        <v>34</v>
      </c>
      <c r="B91" s="381"/>
      <c r="C91" s="381"/>
      <c r="D91" s="184">
        <f>SUM(D88:D90)</f>
        <v>0</v>
      </c>
      <c r="E91" s="162">
        <f>SUM(E88:E90)</f>
        <v>100</v>
      </c>
    </row>
    <row r="92" spans="1:14" ht="16.5" thickBot="1" x14ac:dyDescent="0.3">
      <c r="A92" s="382"/>
      <c r="B92" s="383"/>
      <c r="C92" s="383"/>
      <c r="D92" s="185">
        <f>D91*E92/100</f>
        <v>0</v>
      </c>
      <c r="E92" s="161">
        <f>E91*0.1</f>
        <v>10</v>
      </c>
    </row>
    <row r="93" spans="1:14" ht="15.75" x14ac:dyDescent="0.25">
      <c r="A93" s="46"/>
      <c r="B93" s="46"/>
      <c r="C93" s="46"/>
      <c r="D93" s="119"/>
      <c r="E93" s="119"/>
    </row>
    <row r="94" spans="1:14" ht="21.75" thickBot="1" x14ac:dyDescent="0.3">
      <c r="J94" s="143" t="s">
        <v>206</v>
      </c>
      <c r="K94" s="143" t="s">
        <v>201</v>
      </c>
      <c r="L94" s="143" t="s">
        <v>202</v>
      </c>
      <c r="M94" s="143" t="s">
        <v>203</v>
      </c>
      <c r="N94" s="143" t="s">
        <v>204</v>
      </c>
    </row>
    <row r="95" spans="1:14" ht="21.75" thickBot="1" x14ac:dyDescent="0.3">
      <c r="B95" s="140" t="s">
        <v>199</v>
      </c>
      <c r="C95" s="141">
        <f>D86+D72+D49+D25+D8</f>
        <v>0</v>
      </c>
      <c r="J95" s="125" t="s">
        <v>208</v>
      </c>
      <c r="K95" s="125">
        <f>IF(K86+K72+K49+K25+K8=5,1,0)</f>
        <v>0</v>
      </c>
      <c r="L95" s="125">
        <f t="shared" ref="L95:N95" si="0">IF(L86+L72+L49+L25+L8=5,1,0)</f>
        <v>0</v>
      </c>
      <c r="M95" s="125">
        <f t="shared" si="0"/>
        <v>0</v>
      </c>
      <c r="N95" s="125">
        <f t="shared" si="0"/>
        <v>0</v>
      </c>
    </row>
    <row r="96" spans="1:14" ht="21.75" thickBot="1" x14ac:dyDescent="0.3">
      <c r="B96" s="140" t="s">
        <v>200</v>
      </c>
      <c r="C96" s="141" t="str">
        <f>IF(K102=1,"Ulusal Üstünlük",IF(K101=1,"Çok İyi", IF(K100=1,"İyi",IF(K99=1,"Geçer","Olumsuz"))))</f>
        <v>Olumsuz</v>
      </c>
      <c r="J96" s="125" t="s">
        <v>209</v>
      </c>
      <c r="K96" s="125">
        <f>IF($C$95&gt;=25,1,0)</f>
        <v>0</v>
      </c>
      <c r="L96" s="125">
        <f>IF($C$95&gt;=40,1,0)</f>
        <v>0</v>
      </c>
      <c r="M96" s="125">
        <f>IF($C$95&gt;=70,1,0)</f>
        <v>0</v>
      </c>
      <c r="N96" s="125">
        <f>IF($C$95&gt;=85,1,0)</f>
        <v>0</v>
      </c>
    </row>
    <row r="97" spans="10:14" x14ac:dyDescent="0.25">
      <c r="J97" s="124"/>
      <c r="K97" s="124"/>
      <c r="L97" s="124"/>
      <c r="M97" s="124"/>
      <c r="N97" s="124"/>
    </row>
    <row r="98" spans="10:14" x14ac:dyDescent="0.25">
      <c r="J98" s="325" t="s">
        <v>214</v>
      </c>
      <c r="K98" s="326"/>
      <c r="L98" s="124"/>
      <c r="M98" s="124"/>
      <c r="N98" s="124"/>
    </row>
    <row r="99" spans="10:14" x14ac:dyDescent="0.25">
      <c r="J99" s="125" t="s">
        <v>210</v>
      </c>
      <c r="K99" s="125">
        <f>IF(AND(K96=1,K95=1),1,0)</f>
        <v>0</v>
      </c>
      <c r="L99" s="124"/>
      <c r="M99" s="124"/>
      <c r="N99" s="124"/>
    </row>
    <row r="100" spans="10:14" x14ac:dyDescent="0.25">
      <c r="J100" s="125" t="s">
        <v>211</v>
      </c>
      <c r="K100" s="125">
        <f>IF(AND(L96=1,L95=1),1,0)</f>
        <v>0</v>
      </c>
      <c r="L100" s="124"/>
      <c r="M100" s="124"/>
      <c r="N100" s="124"/>
    </row>
    <row r="101" spans="10:14" x14ac:dyDescent="0.25">
      <c r="J101" s="125" t="s">
        <v>212</v>
      </c>
      <c r="K101" s="125">
        <f>IF(AND(M96=1,M95=1),1,0)</f>
        <v>0</v>
      </c>
      <c r="L101" s="124"/>
      <c r="M101" s="124"/>
      <c r="N101" s="124"/>
    </row>
    <row r="102" spans="10:14" x14ac:dyDescent="0.25">
      <c r="J102" s="125" t="s">
        <v>204</v>
      </c>
      <c r="K102" s="125">
        <f>IF(AND(N96=1,N95=1),1,0)</f>
        <v>0</v>
      </c>
      <c r="L102" s="124"/>
      <c r="M102" s="124"/>
      <c r="N102" s="124"/>
    </row>
  </sheetData>
  <sheetProtection algorithmName="SHA-512" hashValue="zjekkX/RejQVZJw+Rf2QoIbr1K1l8FCjdHM3Zx8bpi1IE08TcveqoxkWojOgJCB6qKAkivdGcjty0FCkCrneSg==" saltValue="tbdt1gN2DvvIfGKyEbW43A==" spinCount="100000" sheet="1" objects="1" scenarios="1"/>
  <mergeCells count="34">
    <mergeCell ref="A91:C92"/>
    <mergeCell ref="J98:K98"/>
    <mergeCell ref="G1:H1"/>
    <mergeCell ref="A71:C72"/>
    <mergeCell ref="A74:A84"/>
    <mergeCell ref="B74:B81"/>
    <mergeCell ref="B82:B84"/>
    <mergeCell ref="A85:C86"/>
    <mergeCell ref="A88:A90"/>
    <mergeCell ref="B88:B89"/>
    <mergeCell ref="A48:C49"/>
    <mergeCell ref="A51:A70"/>
    <mergeCell ref="B51:B53"/>
    <mergeCell ref="B54:B56"/>
    <mergeCell ref="B57:B59"/>
    <mergeCell ref="B60:B61"/>
    <mergeCell ref="B62:B64"/>
    <mergeCell ref="B65:B70"/>
    <mergeCell ref="A24:C25"/>
    <mergeCell ref="A27:A47"/>
    <mergeCell ref="B27:B33"/>
    <mergeCell ref="B34:B37"/>
    <mergeCell ref="B38:B41"/>
    <mergeCell ref="B42:B47"/>
    <mergeCell ref="A2:A6"/>
    <mergeCell ref="B2:B4"/>
    <mergeCell ref="B5:B6"/>
    <mergeCell ref="A7:C8"/>
    <mergeCell ref="A10:A23"/>
    <mergeCell ref="B10:B12"/>
    <mergeCell ref="B13:B16"/>
    <mergeCell ref="B17:B18"/>
    <mergeCell ref="B19:B20"/>
    <mergeCell ref="B21:B23"/>
  </mergeCells>
  <dataValidations count="2">
    <dataValidation type="list" allowBlank="1" showInputMessage="1" showErrorMessage="1" sqref="I1" xr:uid="{1D129AA1-087C-4368-9736-BFE94DD70DEA}">
      <formula1>"Yeni,Mevcut"</formula1>
    </dataValidation>
    <dataValidation type="list" allowBlank="1" showInputMessage="1" showErrorMessage="1" sqref="D2:D4 D10 D13:D14 D27 D34 D63" xr:uid="{A51A2791-F9B7-4FB3-A1EB-40AAE6BF9F73}">
      <formula1>"Evet,Hayır"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zoomScaleNormal="100" workbookViewId="0">
      <pane xSplit="2" ySplit="3" topLeftCell="C4" activePane="bottomRight" state="frozen"/>
      <selection pane="topRight" activeCell="C1" sqref="C1"/>
      <selection pane="bottomLeft" activeCell="A4" sqref="A4"/>
      <selection pane="bottomRight" activeCell="C17" sqref="C17"/>
    </sheetView>
  </sheetViews>
  <sheetFormatPr defaultColWidth="8.85546875" defaultRowHeight="21" x14ac:dyDescent="0.25"/>
  <cols>
    <col min="1" max="1" width="8.28515625" style="73" customWidth="1"/>
    <col min="2" max="2" width="33.85546875" style="74" customWidth="1"/>
    <col min="3" max="3" width="89.140625" style="1" customWidth="1"/>
    <col min="4" max="4" width="8.85546875" style="107"/>
    <col min="5" max="10" width="8.85546875" style="108"/>
    <col min="11" max="11" width="8.85546875" style="75"/>
    <col min="12" max="12" width="8.7109375" style="108" customWidth="1"/>
    <col min="13" max="16" width="8.85546875" style="108"/>
    <col min="17" max="17" width="10.28515625" style="108" customWidth="1"/>
    <col min="18" max="18" width="8.85546875" style="108"/>
    <col min="19" max="16384" width="8.85546875" style="75"/>
  </cols>
  <sheetData>
    <row r="1" spans="1:18" ht="21.75" thickBot="1" x14ac:dyDescent="0.3">
      <c r="D1" s="133"/>
      <c r="E1" s="133"/>
      <c r="F1" s="133"/>
      <c r="G1" s="133"/>
      <c r="H1" s="133"/>
      <c r="I1" s="133"/>
      <c r="J1" s="133"/>
    </row>
    <row r="2" spans="1:18" ht="16.5" thickBot="1" x14ac:dyDescent="0.3">
      <c r="A2" s="419" t="s">
        <v>189</v>
      </c>
      <c r="B2" s="419" t="s">
        <v>190</v>
      </c>
      <c r="C2" s="421" t="s">
        <v>191</v>
      </c>
      <c r="D2" s="416" t="s">
        <v>179</v>
      </c>
      <c r="E2" s="417"/>
      <c r="F2" s="417"/>
      <c r="G2" s="417"/>
      <c r="H2" s="417"/>
      <c r="I2" s="417"/>
      <c r="J2" s="418"/>
      <c r="L2" s="416" t="s">
        <v>180</v>
      </c>
      <c r="M2" s="417"/>
      <c r="N2" s="417"/>
      <c r="O2" s="417"/>
      <c r="P2" s="417"/>
      <c r="Q2" s="417"/>
      <c r="R2" s="418"/>
    </row>
    <row r="3" spans="1:18" ht="21.75" customHeight="1" thickBot="1" x14ac:dyDescent="0.3">
      <c r="A3" s="420"/>
      <c r="B3" s="420"/>
      <c r="C3" s="422"/>
      <c r="D3" s="212" t="s">
        <v>178</v>
      </c>
      <c r="E3" s="213" t="s">
        <v>194</v>
      </c>
      <c r="F3" s="213" t="s">
        <v>195</v>
      </c>
      <c r="G3" s="213" t="s">
        <v>196</v>
      </c>
      <c r="H3" s="213" t="s">
        <v>197</v>
      </c>
      <c r="I3" s="213" t="s">
        <v>198</v>
      </c>
      <c r="J3" s="214" t="s">
        <v>181</v>
      </c>
      <c r="L3" s="212" t="s">
        <v>178</v>
      </c>
      <c r="M3" s="213" t="s">
        <v>194</v>
      </c>
      <c r="N3" s="213" t="s">
        <v>195</v>
      </c>
      <c r="O3" s="213" t="s">
        <v>196</v>
      </c>
      <c r="P3" s="213" t="s">
        <v>197</v>
      </c>
      <c r="Q3" s="213" t="s">
        <v>198</v>
      </c>
      <c r="R3" s="214" t="s">
        <v>181</v>
      </c>
    </row>
    <row r="4" spans="1:18" ht="15.75" x14ac:dyDescent="0.25">
      <c r="A4" s="329" t="s">
        <v>0</v>
      </c>
      <c r="B4" s="332" t="s">
        <v>1</v>
      </c>
      <c r="C4" s="29" t="s">
        <v>2</v>
      </c>
      <c r="D4" s="76" t="s">
        <v>3</v>
      </c>
      <c r="E4" s="47" t="s">
        <v>3</v>
      </c>
      <c r="F4" s="47" t="s">
        <v>3</v>
      </c>
      <c r="G4" s="47" t="s">
        <v>3</v>
      </c>
      <c r="H4" s="47" t="s">
        <v>3</v>
      </c>
      <c r="I4" s="47" t="s">
        <v>3</v>
      </c>
      <c r="J4" s="47" t="s">
        <v>3</v>
      </c>
      <c r="L4" s="47" t="s">
        <v>3</v>
      </c>
      <c r="M4" s="47" t="s">
        <v>3</v>
      </c>
      <c r="N4" s="47" t="s">
        <v>3</v>
      </c>
      <c r="O4" s="47" t="s">
        <v>3</v>
      </c>
      <c r="P4" s="47" t="s">
        <v>3</v>
      </c>
      <c r="Q4" s="47" t="s">
        <v>3</v>
      </c>
      <c r="R4" s="48" t="s">
        <v>3</v>
      </c>
    </row>
    <row r="5" spans="1:18" ht="15.75" x14ac:dyDescent="0.25">
      <c r="A5" s="330"/>
      <c r="B5" s="333"/>
      <c r="C5" s="3" t="s">
        <v>4</v>
      </c>
      <c r="D5" s="77">
        <v>4</v>
      </c>
      <c r="E5" s="32">
        <v>5</v>
      </c>
      <c r="F5" s="32">
        <v>5</v>
      </c>
      <c r="G5" s="32">
        <v>8</v>
      </c>
      <c r="H5" s="32">
        <v>5</v>
      </c>
      <c r="I5" s="32">
        <v>7</v>
      </c>
      <c r="J5" s="32">
        <v>7</v>
      </c>
      <c r="L5" s="32">
        <v>4</v>
      </c>
      <c r="M5" s="32">
        <v>5</v>
      </c>
      <c r="N5" s="32">
        <v>5</v>
      </c>
      <c r="O5" s="32">
        <v>8</v>
      </c>
      <c r="P5" s="32">
        <v>5</v>
      </c>
      <c r="Q5" s="32">
        <v>7</v>
      </c>
      <c r="R5" s="35">
        <v>7</v>
      </c>
    </row>
    <row r="6" spans="1:18" ht="15.75" x14ac:dyDescent="0.25">
      <c r="A6" s="330"/>
      <c r="B6" s="333"/>
      <c r="C6" s="3" t="s">
        <v>5</v>
      </c>
      <c r="D6" s="78" t="s">
        <v>3</v>
      </c>
      <c r="E6" s="78" t="s">
        <v>3</v>
      </c>
      <c r="F6" s="78" t="s">
        <v>3</v>
      </c>
      <c r="G6" s="78" t="s">
        <v>3</v>
      </c>
      <c r="H6" s="78" t="s">
        <v>3</v>
      </c>
      <c r="I6" s="78" t="s">
        <v>3</v>
      </c>
      <c r="J6" s="78" t="s">
        <v>3</v>
      </c>
      <c r="L6" s="78" t="s">
        <v>3</v>
      </c>
      <c r="M6" s="78" t="s">
        <v>3</v>
      </c>
      <c r="N6" s="78" t="s">
        <v>3</v>
      </c>
      <c r="O6" s="78" t="s">
        <v>3</v>
      </c>
      <c r="P6" s="78" t="s">
        <v>3</v>
      </c>
      <c r="Q6" s="78" t="s">
        <v>3</v>
      </c>
      <c r="R6" s="78" t="s">
        <v>3</v>
      </c>
    </row>
    <row r="7" spans="1:18" ht="16.5" thickBot="1" x14ac:dyDescent="0.3">
      <c r="A7" s="330"/>
      <c r="B7" s="334"/>
      <c r="C7" s="4" t="s">
        <v>6</v>
      </c>
      <c r="D7" s="77">
        <v>10</v>
      </c>
      <c r="E7" s="38">
        <v>10</v>
      </c>
      <c r="F7" s="38">
        <v>10</v>
      </c>
      <c r="G7" s="38">
        <v>10</v>
      </c>
      <c r="H7" s="38">
        <v>10</v>
      </c>
      <c r="I7" s="38">
        <v>10</v>
      </c>
      <c r="J7" s="38">
        <v>10</v>
      </c>
      <c r="L7" s="38">
        <v>10</v>
      </c>
      <c r="M7" s="38">
        <v>10</v>
      </c>
      <c r="N7" s="38">
        <v>10</v>
      </c>
      <c r="O7" s="38">
        <v>10</v>
      </c>
      <c r="P7" s="38">
        <v>10</v>
      </c>
      <c r="Q7" s="38">
        <v>10</v>
      </c>
      <c r="R7" s="39">
        <v>10</v>
      </c>
    </row>
    <row r="8" spans="1:18" ht="15.75" x14ac:dyDescent="0.25">
      <c r="A8" s="330"/>
      <c r="B8" s="335" t="s">
        <v>7</v>
      </c>
      <c r="C8" s="2" t="s">
        <v>8</v>
      </c>
      <c r="D8" s="79" t="s">
        <v>3</v>
      </c>
      <c r="E8" s="79" t="s">
        <v>3</v>
      </c>
      <c r="F8" s="79" t="s">
        <v>3</v>
      </c>
      <c r="G8" s="79" t="s">
        <v>3</v>
      </c>
      <c r="H8" s="79" t="s">
        <v>3</v>
      </c>
      <c r="I8" s="79" t="s">
        <v>3</v>
      </c>
      <c r="J8" s="79" t="s">
        <v>3</v>
      </c>
      <c r="L8" s="79" t="s">
        <v>3</v>
      </c>
      <c r="M8" s="79" t="s">
        <v>3</v>
      </c>
      <c r="N8" s="79" t="s">
        <v>3</v>
      </c>
      <c r="O8" s="79" t="s">
        <v>3</v>
      </c>
      <c r="P8" s="79" t="s">
        <v>3</v>
      </c>
      <c r="Q8" s="79" t="s">
        <v>3</v>
      </c>
      <c r="R8" s="79" t="s">
        <v>3</v>
      </c>
    </row>
    <row r="9" spans="1:18" ht="31.5" x14ac:dyDescent="0.25">
      <c r="A9" s="330"/>
      <c r="B9" s="333"/>
      <c r="C9" s="3" t="s">
        <v>9</v>
      </c>
      <c r="D9" s="80">
        <v>4</v>
      </c>
      <c r="E9" s="32">
        <v>4</v>
      </c>
      <c r="F9" s="32">
        <v>4</v>
      </c>
      <c r="G9" s="32">
        <v>4</v>
      </c>
      <c r="H9" s="32">
        <v>4</v>
      </c>
      <c r="I9" s="32">
        <v>5</v>
      </c>
      <c r="J9" s="32">
        <v>4</v>
      </c>
      <c r="L9" s="32">
        <v>4</v>
      </c>
      <c r="M9" s="32">
        <v>4</v>
      </c>
      <c r="N9" s="32">
        <v>4</v>
      </c>
      <c r="O9" s="32">
        <v>4</v>
      </c>
      <c r="P9" s="32">
        <v>4</v>
      </c>
      <c r="Q9" s="32">
        <v>5</v>
      </c>
      <c r="R9" s="35">
        <v>4</v>
      </c>
    </row>
    <row r="10" spans="1:18" ht="15.75" x14ac:dyDescent="0.25">
      <c r="A10" s="330"/>
      <c r="B10" s="333"/>
      <c r="C10" s="3" t="s">
        <v>10</v>
      </c>
      <c r="D10" s="80">
        <v>4</v>
      </c>
      <c r="E10" s="32">
        <v>4</v>
      </c>
      <c r="F10" s="32">
        <v>4</v>
      </c>
      <c r="G10" s="32">
        <v>3</v>
      </c>
      <c r="H10" s="32">
        <v>4</v>
      </c>
      <c r="I10" s="32">
        <v>4</v>
      </c>
      <c r="J10" s="32">
        <v>4</v>
      </c>
      <c r="L10" s="32">
        <v>4</v>
      </c>
      <c r="M10" s="32">
        <v>4</v>
      </c>
      <c r="N10" s="32">
        <v>4</v>
      </c>
      <c r="O10" s="32">
        <v>3</v>
      </c>
      <c r="P10" s="32">
        <v>4</v>
      </c>
      <c r="Q10" s="32">
        <v>4</v>
      </c>
      <c r="R10" s="35">
        <v>4</v>
      </c>
    </row>
    <row r="11" spans="1:18" ht="15.75" x14ac:dyDescent="0.25">
      <c r="A11" s="330"/>
      <c r="B11" s="333"/>
      <c r="C11" s="3" t="s">
        <v>11</v>
      </c>
      <c r="D11" s="80">
        <v>3</v>
      </c>
      <c r="E11" s="32">
        <v>4</v>
      </c>
      <c r="F11" s="32">
        <v>4</v>
      </c>
      <c r="G11" s="32">
        <v>3</v>
      </c>
      <c r="H11" s="32">
        <v>4</v>
      </c>
      <c r="I11" s="32">
        <v>3</v>
      </c>
      <c r="J11" s="32">
        <v>4</v>
      </c>
      <c r="L11" s="32">
        <v>3</v>
      </c>
      <c r="M11" s="32">
        <v>4</v>
      </c>
      <c r="N11" s="32">
        <v>4</v>
      </c>
      <c r="O11" s="32">
        <v>3</v>
      </c>
      <c r="P11" s="32">
        <v>4</v>
      </c>
      <c r="Q11" s="32">
        <v>3</v>
      </c>
      <c r="R11" s="35">
        <v>4</v>
      </c>
    </row>
    <row r="12" spans="1:18" ht="15.75" x14ac:dyDescent="0.25">
      <c r="A12" s="330"/>
      <c r="B12" s="333"/>
      <c r="C12" s="3" t="s">
        <v>12</v>
      </c>
      <c r="D12" s="80">
        <v>4</v>
      </c>
      <c r="E12" s="32">
        <v>3</v>
      </c>
      <c r="F12" s="32">
        <v>4</v>
      </c>
      <c r="G12" s="32">
        <v>3</v>
      </c>
      <c r="H12" s="32">
        <v>4</v>
      </c>
      <c r="I12" s="32">
        <v>1</v>
      </c>
      <c r="J12" s="32">
        <v>2</v>
      </c>
      <c r="L12" s="32">
        <v>4</v>
      </c>
      <c r="M12" s="32">
        <v>3</v>
      </c>
      <c r="N12" s="32">
        <v>4</v>
      </c>
      <c r="O12" s="32">
        <v>3</v>
      </c>
      <c r="P12" s="32">
        <v>4</v>
      </c>
      <c r="Q12" s="32">
        <v>1</v>
      </c>
      <c r="R12" s="35">
        <v>2</v>
      </c>
    </row>
    <row r="13" spans="1:18" ht="15.75" x14ac:dyDescent="0.25">
      <c r="A13" s="330"/>
      <c r="B13" s="333"/>
      <c r="C13" s="3" t="s">
        <v>13</v>
      </c>
      <c r="D13" s="80">
        <v>2</v>
      </c>
      <c r="E13" s="32">
        <v>3</v>
      </c>
      <c r="F13" s="32">
        <v>1</v>
      </c>
      <c r="G13" s="32">
        <v>2</v>
      </c>
      <c r="H13" s="32">
        <v>3</v>
      </c>
      <c r="I13" s="32">
        <v>2</v>
      </c>
      <c r="J13" s="32">
        <v>2</v>
      </c>
      <c r="L13" s="32">
        <v>2</v>
      </c>
      <c r="M13" s="32">
        <v>3</v>
      </c>
      <c r="N13" s="32">
        <v>1</v>
      </c>
      <c r="O13" s="32">
        <v>2</v>
      </c>
      <c r="P13" s="32">
        <v>3</v>
      </c>
      <c r="Q13" s="32">
        <v>2</v>
      </c>
      <c r="R13" s="35">
        <v>2</v>
      </c>
    </row>
    <row r="14" spans="1:18" ht="15.75" x14ac:dyDescent="0.25">
      <c r="A14" s="330"/>
      <c r="B14" s="333"/>
      <c r="C14" s="3" t="s">
        <v>14</v>
      </c>
      <c r="D14" s="80">
        <v>3</v>
      </c>
      <c r="E14" s="32">
        <v>3</v>
      </c>
      <c r="F14" s="32">
        <v>3</v>
      </c>
      <c r="G14" s="32">
        <v>2</v>
      </c>
      <c r="H14" s="32">
        <v>3</v>
      </c>
      <c r="I14" s="32">
        <v>3</v>
      </c>
      <c r="J14" s="32">
        <v>3</v>
      </c>
      <c r="L14" s="32">
        <v>3</v>
      </c>
      <c r="M14" s="32">
        <v>3</v>
      </c>
      <c r="N14" s="32">
        <v>3</v>
      </c>
      <c r="O14" s="32">
        <v>2</v>
      </c>
      <c r="P14" s="32">
        <v>3</v>
      </c>
      <c r="Q14" s="32">
        <v>3</v>
      </c>
      <c r="R14" s="35">
        <v>3</v>
      </c>
    </row>
    <row r="15" spans="1:18" ht="15.75" x14ac:dyDescent="0.25">
      <c r="A15" s="330"/>
      <c r="B15" s="333"/>
      <c r="C15" s="3" t="s">
        <v>15</v>
      </c>
      <c r="D15" s="80">
        <v>3</v>
      </c>
      <c r="E15" s="32">
        <v>3</v>
      </c>
      <c r="F15" s="32">
        <v>3</v>
      </c>
      <c r="G15" s="32">
        <v>2</v>
      </c>
      <c r="H15" s="32">
        <v>3</v>
      </c>
      <c r="I15" s="32">
        <v>3</v>
      </c>
      <c r="J15" s="32">
        <v>3</v>
      </c>
      <c r="L15" s="32">
        <v>3</v>
      </c>
      <c r="M15" s="32">
        <v>3</v>
      </c>
      <c r="N15" s="32">
        <v>3</v>
      </c>
      <c r="O15" s="32">
        <v>2</v>
      </c>
      <c r="P15" s="32">
        <v>3</v>
      </c>
      <c r="Q15" s="32">
        <v>3</v>
      </c>
      <c r="R15" s="35">
        <v>3</v>
      </c>
    </row>
    <row r="16" spans="1:18" ht="15.75" x14ac:dyDescent="0.25">
      <c r="A16" s="330"/>
      <c r="B16" s="333"/>
      <c r="C16" s="3" t="s">
        <v>16</v>
      </c>
      <c r="D16" s="80">
        <v>4</v>
      </c>
      <c r="E16" s="32">
        <v>3</v>
      </c>
      <c r="F16" s="32">
        <v>4</v>
      </c>
      <c r="G16" s="32">
        <v>3</v>
      </c>
      <c r="H16" s="32">
        <v>3</v>
      </c>
      <c r="I16" s="32">
        <v>4</v>
      </c>
      <c r="J16" s="32">
        <v>4</v>
      </c>
      <c r="L16" s="32">
        <v>4</v>
      </c>
      <c r="M16" s="32">
        <v>3</v>
      </c>
      <c r="N16" s="32">
        <v>4</v>
      </c>
      <c r="O16" s="32">
        <v>3</v>
      </c>
      <c r="P16" s="32">
        <v>3</v>
      </c>
      <c r="Q16" s="32">
        <v>4</v>
      </c>
      <c r="R16" s="35">
        <v>4</v>
      </c>
    </row>
    <row r="17" spans="1:18" ht="15.75" x14ac:dyDescent="0.25">
      <c r="A17" s="330"/>
      <c r="B17" s="333"/>
      <c r="C17" s="3" t="s">
        <v>17</v>
      </c>
      <c r="D17" s="80">
        <v>4</v>
      </c>
      <c r="E17" s="32">
        <v>4</v>
      </c>
      <c r="F17" s="32">
        <v>4</v>
      </c>
      <c r="G17" s="32">
        <v>3</v>
      </c>
      <c r="H17" s="32">
        <v>3</v>
      </c>
      <c r="I17" s="32">
        <v>4</v>
      </c>
      <c r="J17" s="32">
        <v>4</v>
      </c>
      <c r="L17" s="32">
        <v>4</v>
      </c>
      <c r="M17" s="32">
        <v>4</v>
      </c>
      <c r="N17" s="32">
        <v>4</v>
      </c>
      <c r="O17" s="32">
        <v>3</v>
      </c>
      <c r="P17" s="32">
        <v>3</v>
      </c>
      <c r="Q17" s="32">
        <v>4</v>
      </c>
      <c r="R17" s="35">
        <v>4</v>
      </c>
    </row>
    <row r="18" spans="1:18" ht="15.75" x14ac:dyDescent="0.25">
      <c r="A18" s="330"/>
      <c r="B18" s="333"/>
      <c r="C18" s="3" t="s">
        <v>18</v>
      </c>
      <c r="D18" s="80">
        <v>3</v>
      </c>
      <c r="E18" s="32">
        <v>2</v>
      </c>
      <c r="F18" s="32">
        <v>2</v>
      </c>
      <c r="G18" s="32">
        <v>2</v>
      </c>
      <c r="H18" s="32">
        <v>2</v>
      </c>
      <c r="I18" s="32">
        <v>2</v>
      </c>
      <c r="J18" s="32">
        <v>2</v>
      </c>
      <c r="L18" s="32">
        <v>3</v>
      </c>
      <c r="M18" s="32">
        <v>2</v>
      </c>
      <c r="N18" s="32">
        <v>2</v>
      </c>
      <c r="O18" s="32">
        <v>2</v>
      </c>
      <c r="P18" s="32">
        <v>2</v>
      </c>
      <c r="Q18" s="32">
        <v>2</v>
      </c>
      <c r="R18" s="35">
        <v>2</v>
      </c>
    </row>
    <row r="19" spans="1:18" ht="16.149999999999999" customHeight="1" x14ac:dyDescent="0.25">
      <c r="A19" s="330"/>
      <c r="B19" s="333"/>
      <c r="C19" s="3" t="s">
        <v>19</v>
      </c>
      <c r="D19" s="80">
        <v>3</v>
      </c>
      <c r="E19" s="32">
        <v>2</v>
      </c>
      <c r="F19" s="32">
        <v>2</v>
      </c>
      <c r="G19" s="45">
        <v>2</v>
      </c>
      <c r="H19" s="32">
        <v>2</v>
      </c>
      <c r="I19" s="32">
        <v>2</v>
      </c>
      <c r="J19" s="32">
        <v>2</v>
      </c>
      <c r="L19" s="32">
        <v>3</v>
      </c>
      <c r="M19" s="32">
        <v>2</v>
      </c>
      <c r="N19" s="32">
        <v>2</v>
      </c>
      <c r="O19" s="32">
        <v>2</v>
      </c>
      <c r="P19" s="32">
        <v>2</v>
      </c>
      <c r="Q19" s="32">
        <v>2</v>
      </c>
      <c r="R19" s="35">
        <v>2</v>
      </c>
    </row>
    <row r="20" spans="1:18" ht="15.75" x14ac:dyDescent="0.25">
      <c r="A20" s="330"/>
      <c r="B20" s="333"/>
      <c r="C20" s="3" t="s">
        <v>20</v>
      </c>
      <c r="D20" s="80">
        <v>1</v>
      </c>
      <c r="E20" s="32">
        <v>1</v>
      </c>
      <c r="F20" s="32">
        <v>1</v>
      </c>
      <c r="G20" s="32">
        <v>1</v>
      </c>
      <c r="H20" s="32">
        <v>1</v>
      </c>
      <c r="I20" s="32">
        <v>1</v>
      </c>
      <c r="J20" s="32">
        <v>1</v>
      </c>
      <c r="L20" s="32">
        <v>1</v>
      </c>
      <c r="M20" s="32">
        <v>1</v>
      </c>
      <c r="N20" s="32">
        <v>1</v>
      </c>
      <c r="O20" s="32">
        <v>1</v>
      </c>
      <c r="P20" s="32">
        <v>1</v>
      </c>
      <c r="Q20" s="32">
        <v>1</v>
      </c>
      <c r="R20" s="35">
        <v>1</v>
      </c>
    </row>
    <row r="21" spans="1:18" ht="16.5" thickBot="1" x14ac:dyDescent="0.3">
      <c r="A21" s="330"/>
      <c r="B21" s="334"/>
      <c r="C21" s="4" t="s">
        <v>21</v>
      </c>
      <c r="D21" s="72">
        <v>1</v>
      </c>
      <c r="E21" s="38">
        <v>1</v>
      </c>
      <c r="F21" s="38">
        <v>1</v>
      </c>
      <c r="G21" s="38">
        <v>1</v>
      </c>
      <c r="H21" s="38">
        <v>1</v>
      </c>
      <c r="I21" s="38">
        <v>1</v>
      </c>
      <c r="J21" s="38">
        <v>1</v>
      </c>
      <c r="L21" s="38">
        <v>1</v>
      </c>
      <c r="M21" s="38">
        <v>1</v>
      </c>
      <c r="N21" s="38">
        <v>1</v>
      </c>
      <c r="O21" s="38">
        <v>1</v>
      </c>
      <c r="P21" s="38">
        <v>1</v>
      </c>
      <c r="Q21" s="38">
        <v>1</v>
      </c>
      <c r="R21" s="39">
        <v>1</v>
      </c>
    </row>
    <row r="22" spans="1:18" ht="38.25" customHeight="1" thickBot="1" x14ac:dyDescent="0.3">
      <c r="A22" s="330"/>
      <c r="B22" s="81" t="s">
        <v>22</v>
      </c>
      <c r="C22" s="5" t="s">
        <v>220</v>
      </c>
      <c r="D22" s="55">
        <v>2</v>
      </c>
      <c r="E22" s="41">
        <v>3</v>
      </c>
      <c r="F22" s="41">
        <v>3</v>
      </c>
      <c r="G22" s="41">
        <v>4</v>
      </c>
      <c r="H22" s="41">
        <v>3</v>
      </c>
      <c r="I22" s="41">
        <v>4</v>
      </c>
      <c r="J22" s="41">
        <v>4</v>
      </c>
      <c r="L22" s="41">
        <v>2</v>
      </c>
      <c r="M22" s="41">
        <v>3</v>
      </c>
      <c r="N22" s="41">
        <v>3</v>
      </c>
      <c r="O22" s="41">
        <v>4</v>
      </c>
      <c r="P22" s="41">
        <v>3</v>
      </c>
      <c r="Q22" s="41">
        <v>4</v>
      </c>
      <c r="R22" s="42">
        <v>4</v>
      </c>
    </row>
    <row r="23" spans="1:18" ht="15.75" x14ac:dyDescent="0.25">
      <c r="A23" s="330"/>
      <c r="B23" s="335" t="s">
        <v>23</v>
      </c>
      <c r="C23" s="6" t="s">
        <v>24</v>
      </c>
      <c r="D23" s="70">
        <v>6</v>
      </c>
      <c r="E23" s="33">
        <v>7</v>
      </c>
      <c r="F23" s="33">
        <v>7</v>
      </c>
      <c r="G23" s="33">
        <v>8</v>
      </c>
      <c r="H23" s="33">
        <v>7</v>
      </c>
      <c r="I23" s="33">
        <v>7</v>
      </c>
      <c r="J23" s="33">
        <v>8</v>
      </c>
      <c r="L23" s="33">
        <v>6</v>
      </c>
      <c r="M23" s="33">
        <v>7</v>
      </c>
      <c r="N23" s="33">
        <v>7</v>
      </c>
      <c r="O23" s="33">
        <v>8</v>
      </c>
      <c r="P23" s="33">
        <v>7</v>
      </c>
      <c r="Q23" s="33">
        <v>7</v>
      </c>
      <c r="R23" s="34">
        <v>8</v>
      </c>
    </row>
    <row r="24" spans="1:18" ht="15.75" x14ac:dyDescent="0.25">
      <c r="A24" s="330"/>
      <c r="B24" s="333"/>
      <c r="C24" s="7" t="s">
        <v>183</v>
      </c>
      <c r="D24" s="80">
        <v>3</v>
      </c>
      <c r="E24" s="32">
        <v>3</v>
      </c>
      <c r="F24" s="32">
        <v>3</v>
      </c>
      <c r="G24" s="32">
        <v>4</v>
      </c>
      <c r="H24" s="32">
        <v>3</v>
      </c>
      <c r="I24" s="32">
        <v>4</v>
      </c>
      <c r="J24" s="32">
        <v>5</v>
      </c>
      <c r="L24" s="32">
        <v>3</v>
      </c>
      <c r="M24" s="32">
        <v>3</v>
      </c>
      <c r="N24" s="32">
        <v>3</v>
      </c>
      <c r="O24" s="32">
        <v>4</v>
      </c>
      <c r="P24" s="32">
        <v>3</v>
      </c>
      <c r="Q24" s="32">
        <v>4</v>
      </c>
      <c r="R24" s="35">
        <v>5</v>
      </c>
    </row>
    <row r="25" spans="1:18" ht="15.75" x14ac:dyDescent="0.25">
      <c r="A25" s="330"/>
      <c r="B25" s="333"/>
      <c r="C25" s="7" t="s">
        <v>25</v>
      </c>
      <c r="D25" s="82" t="s">
        <v>3</v>
      </c>
      <c r="E25" s="82" t="s">
        <v>3</v>
      </c>
      <c r="F25" s="82" t="s">
        <v>3</v>
      </c>
      <c r="G25" s="82" t="s">
        <v>3</v>
      </c>
      <c r="H25" s="82" t="s">
        <v>3</v>
      </c>
      <c r="I25" s="82" t="s">
        <v>3</v>
      </c>
      <c r="J25" s="82" t="s">
        <v>3</v>
      </c>
      <c r="L25" s="82" t="s">
        <v>3</v>
      </c>
      <c r="M25" s="82" t="s">
        <v>3</v>
      </c>
      <c r="N25" s="82" t="s">
        <v>3</v>
      </c>
      <c r="O25" s="82" t="s">
        <v>3</v>
      </c>
      <c r="P25" s="82" t="s">
        <v>3</v>
      </c>
      <c r="Q25" s="82" t="s">
        <v>3</v>
      </c>
      <c r="R25" s="82" t="s">
        <v>3</v>
      </c>
    </row>
    <row r="26" spans="1:18" ht="15.75" x14ac:dyDescent="0.25">
      <c r="A26" s="330"/>
      <c r="B26" s="333"/>
      <c r="C26" s="7" t="s">
        <v>184</v>
      </c>
      <c r="D26" s="80">
        <v>7</v>
      </c>
      <c r="E26" s="32">
        <v>8</v>
      </c>
      <c r="F26" s="32">
        <v>8</v>
      </c>
      <c r="G26" s="32">
        <v>9</v>
      </c>
      <c r="H26" s="32">
        <v>8</v>
      </c>
      <c r="I26" s="32">
        <v>8</v>
      </c>
      <c r="J26" s="32">
        <v>9</v>
      </c>
      <c r="L26" s="32">
        <v>7</v>
      </c>
      <c r="M26" s="32">
        <v>8</v>
      </c>
      <c r="N26" s="32">
        <v>8</v>
      </c>
      <c r="O26" s="32">
        <v>9</v>
      </c>
      <c r="P26" s="32">
        <v>8</v>
      </c>
      <c r="Q26" s="32">
        <v>8</v>
      </c>
      <c r="R26" s="35">
        <v>9</v>
      </c>
    </row>
    <row r="27" spans="1:18" ht="16.5" thickBot="1" x14ac:dyDescent="0.3">
      <c r="A27" s="330"/>
      <c r="B27" s="334"/>
      <c r="C27" s="8" t="s">
        <v>26</v>
      </c>
      <c r="D27" s="72">
        <v>4</v>
      </c>
      <c r="E27" s="38">
        <v>4</v>
      </c>
      <c r="F27" s="38">
        <v>4</v>
      </c>
      <c r="G27" s="38">
        <v>5</v>
      </c>
      <c r="H27" s="38">
        <v>4</v>
      </c>
      <c r="I27" s="38">
        <v>5</v>
      </c>
      <c r="J27" s="38">
        <v>5</v>
      </c>
      <c r="L27" s="38">
        <v>4</v>
      </c>
      <c r="M27" s="38">
        <v>4</v>
      </c>
      <c r="N27" s="38">
        <v>4</v>
      </c>
      <c r="O27" s="38">
        <v>5</v>
      </c>
      <c r="P27" s="38">
        <v>4</v>
      </c>
      <c r="Q27" s="38">
        <v>5</v>
      </c>
      <c r="R27" s="39">
        <v>5</v>
      </c>
    </row>
    <row r="28" spans="1:18" ht="31.5" x14ac:dyDescent="0.25">
      <c r="A28" s="330"/>
      <c r="B28" s="335" t="s">
        <v>27</v>
      </c>
      <c r="C28" s="2" t="s">
        <v>28</v>
      </c>
      <c r="D28" s="70">
        <v>5</v>
      </c>
      <c r="E28" s="33">
        <v>4</v>
      </c>
      <c r="F28" s="33">
        <v>4</v>
      </c>
      <c r="G28" s="33">
        <v>4</v>
      </c>
      <c r="H28" s="33">
        <v>4</v>
      </c>
      <c r="I28" s="33">
        <v>4</v>
      </c>
      <c r="J28" s="33">
        <v>5</v>
      </c>
      <c r="L28" s="33">
        <v>5</v>
      </c>
      <c r="M28" s="33">
        <v>4</v>
      </c>
      <c r="N28" s="33">
        <v>4</v>
      </c>
      <c r="O28" s="33">
        <v>4</v>
      </c>
      <c r="P28" s="33">
        <v>4</v>
      </c>
      <c r="Q28" s="33">
        <v>4</v>
      </c>
      <c r="R28" s="34">
        <v>5</v>
      </c>
    </row>
    <row r="29" spans="1:18" ht="16.5" thickBot="1" x14ac:dyDescent="0.3">
      <c r="A29" s="330"/>
      <c r="B29" s="334"/>
      <c r="C29" s="4" t="s">
        <v>29</v>
      </c>
      <c r="D29" s="72">
        <v>5</v>
      </c>
      <c r="E29" s="38">
        <v>3</v>
      </c>
      <c r="F29" s="38">
        <v>3</v>
      </c>
      <c r="G29" s="38">
        <v>4</v>
      </c>
      <c r="H29" s="38">
        <v>3</v>
      </c>
      <c r="I29" s="38">
        <v>4</v>
      </c>
      <c r="J29" s="38">
        <v>4</v>
      </c>
      <c r="L29" s="38">
        <v>5</v>
      </c>
      <c r="M29" s="38">
        <v>3</v>
      </c>
      <c r="N29" s="38">
        <v>3</v>
      </c>
      <c r="O29" s="38">
        <v>4</v>
      </c>
      <c r="P29" s="38">
        <v>3</v>
      </c>
      <c r="Q29" s="38">
        <v>4</v>
      </c>
      <c r="R29" s="39">
        <v>4</v>
      </c>
    </row>
    <row r="30" spans="1:18" ht="15.75" x14ac:dyDescent="0.25">
      <c r="A30" s="330"/>
      <c r="B30" s="335" t="s">
        <v>30</v>
      </c>
      <c r="C30" s="6" t="s">
        <v>31</v>
      </c>
      <c r="D30" s="70">
        <v>5</v>
      </c>
      <c r="E30" s="33">
        <v>3</v>
      </c>
      <c r="F30" s="33">
        <v>3</v>
      </c>
      <c r="G30" s="33">
        <v>3</v>
      </c>
      <c r="H30" s="33">
        <v>5</v>
      </c>
      <c r="I30" s="33">
        <v>3</v>
      </c>
      <c r="J30" s="33">
        <v>2</v>
      </c>
      <c r="L30" s="33">
        <v>5</v>
      </c>
      <c r="M30" s="33">
        <v>3</v>
      </c>
      <c r="N30" s="33">
        <v>3</v>
      </c>
      <c r="O30" s="33">
        <v>3</v>
      </c>
      <c r="P30" s="33">
        <v>5</v>
      </c>
      <c r="Q30" s="33">
        <v>3</v>
      </c>
      <c r="R30" s="34">
        <v>2</v>
      </c>
    </row>
    <row r="31" spans="1:18" ht="31.5" x14ac:dyDescent="0.25">
      <c r="A31" s="330"/>
      <c r="B31" s="333"/>
      <c r="C31" s="7" t="s">
        <v>32</v>
      </c>
      <c r="D31" s="80">
        <v>2</v>
      </c>
      <c r="E31" s="32">
        <v>3</v>
      </c>
      <c r="F31" s="32">
        <v>3</v>
      </c>
      <c r="G31" s="32">
        <v>3</v>
      </c>
      <c r="H31" s="32">
        <v>5</v>
      </c>
      <c r="I31" s="32">
        <v>2</v>
      </c>
      <c r="J31" s="32">
        <v>1</v>
      </c>
      <c r="L31" s="32">
        <v>2</v>
      </c>
      <c r="M31" s="32">
        <v>3</v>
      </c>
      <c r="N31" s="32">
        <v>3</v>
      </c>
      <c r="O31" s="32">
        <v>3</v>
      </c>
      <c r="P31" s="32">
        <v>5</v>
      </c>
      <c r="Q31" s="32">
        <v>2</v>
      </c>
      <c r="R31" s="35">
        <v>1</v>
      </c>
    </row>
    <row r="32" spans="1:18" ht="31.5" x14ac:dyDescent="0.25">
      <c r="A32" s="330"/>
      <c r="B32" s="333"/>
      <c r="C32" s="7" t="s">
        <v>33</v>
      </c>
      <c r="D32" s="80">
        <v>5</v>
      </c>
      <c r="E32" s="32">
        <v>5</v>
      </c>
      <c r="F32" s="32">
        <v>5</v>
      </c>
      <c r="G32" s="32">
        <v>3</v>
      </c>
      <c r="H32" s="32">
        <v>2</v>
      </c>
      <c r="I32" s="32">
        <v>3</v>
      </c>
      <c r="J32" s="32">
        <v>1</v>
      </c>
      <c r="L32" s="32">
        <v>5</v>
      </c>
      <c r="M32" s="32">
        <v>5</v>
      </c>
      <c r="N32" s="32">
        <v>5</v>
      </c>
      <c r="O32" s="32">
        <v>3</v>
      </c>
      <c r="P32" s="32">
        <v>2</v>
      </c>
      <c r="Q32" s="32">
        <v>3</v>
      </c>
      <c r="R32" s="35">
        <v>1</v>
      </c>
    </row>
    <row r="33" spans="1:18" ht="32.25" thickBot="1" x14ac:dyDescent="0.3">
      <c r="A33" s="331"/>
      <c r="B33" s="334"/>
      <c r="C33" s="8" t="s">
        <v>185</v>
      </c>
      <c r="D33" s="83">
        <v>3</v>
      </c>
      <c r="E33" s="36">
        <v>5</v>
      </c>
      <c r="F33" s="36">
        <v>5</v>
      </c>
      <c r="G33" s="36">
        <v>4</v>
      </c>
      <c r="H33" s="36">
        <v>4</v>
      </c>
      <c r="I33" s="36">
        <v>4</v>
      </c>
      <c r="J33" s="36">
        <v>3</v>
      </c>
      <c r="L33" s="36">
        <v>3</v>
      </c>
      <c r="M33" s="36">
        <v>5</v>
      </c>
      <c r="N33" s="36">
        <v>5</v>
      </c>
      <c r="O33" s="36">
        <v>4</v>
      </c>
      <c r="P33" s="36">
        <v>4</v>
      </c>
      <c r="Q33" s="36">
        <v>4</v>
      </c>
      <c r="R33" s="37">
        <v>3</v>
      </c>
    </row>
    <row r="34" spans="1:18" ht="15.75" x14ac:dyDescent="0.25">
      <c r="A34" s="443" t="s">
        <v>34</v>
      </c>
      <c r="B34" s="444"/>
      <c r="C34" s="445"/>
      <c r="D34" s="84">
        <f t="shared" ref="D34:I34" si="0">SUM(D4:D33)</f>
        <v>100</v>
      </c>
      <c r="E34" s="84">
        <f t="shared" si="0"/>
        <v>100</v>
      </c>
      <c r="F34" s="84">
        <f t="shared" si="0"/>
        <v>100</v>
      </c>
      <c r="G34" s="84">
        <f t="shared" si="0"/>
        <v>100</v>
      </c>
      <c r="H34" s="84">
        <f t="shared" si="0"/>
        <v>100</v>
      </c>
      <c r="I34" s="84">
        <f t="shared" si="0"/>
        <v>100</v>
      </c>
      <c r="J34" s="84">
        <f t="shared" ref="J34" si="1">SUM(J4:J33)</f>
        <v>100</v>
      </c>
      <c r="L34" s="84">
        <f t="shared" ref="L34:R34" si="2">SUM(L4:L33)</f>
        <v>100</v>
      </c>
      <c r="M34" s="84">
        <f t="shared" si="2"/>
        <v>100</v>
      </c>
      <c r="N34" s="84">
        <f t="shared" si="2"/>
        <v>100</v>
      </c>
      <c r="O34" s="84">
        <f t="shared" si="2"/>
        <v>100</v>
      </c>
      <c r="P34" s="84">
        <f t="shared" si="2"/>
        <v>100</v>
      </c>
      <c r="Q34" s="84">
        <f t="shared" si="2"/>
        <v>100</v>
      </c>
      <c r="R34" s="84">
        <f t="shared" si="2"/>
        <v>100</v>
      </c>
    </row>
    <row r="35" spans="1:18" s="86" customFormat="1" ht="16.5" thickBot="1" x14ac:dyDescent="0.3">
      <c r="A35" s="446"/>
      <c r="B35" s="447"/>
      <c r="C35" s="448"/>
      <c r="D35" s="85">
        <f>D34*0.15</f>
        <v>15</v>
      </c>
      <c r="E35" s="85">
        <f>E34*0.14</f>
        <v>14.000000000000002</v>
      </c>
      <c r="F35" s="85">
        <f>F34*0.14</f>
        <v>14.000000000000002</v>
      </c>
      <c r="G35" s="85">
        <f>G34*0.13</f>
        <v>13</v>
      </c>
      <c r="H35" s="85">
        <f>H34*0.13</f>
        <v>13</v>
      </c>
      <c r="I35" s="85">
        <f>I34*0.14</f>
        <v>14.000000000000002</v>
      </c>
      <c r="J35" s="85">
        <f>J34*0.14</f>
        <v>14.000000000000002</v>
      </c>
      <c r="L35" s="85">
        <f t="shared" ref="L35:R35" si="3">L34*0.1</f>
        <v>10</v>
      </c>
      <c r="M35" s="85">
        <f t="shared" si="3"/>
        <v>10</v>
      </c>
      <c r="N35" s="85">
        <f t="shared" si="3"/>
        <v>10</v>
      </c>
      <c r="O35" s="85">
        <f t="shared" si="3"/>
        <v>10</v>
      </c>
      <c r="P35" s="85">
        <f t="shared" si="3"/>
        <v>10</v>
      </c>
      <c r="Q35" s="85">
        <f t="shared" si="3"/>
        <v>10</v>
      </c>
      <c r="R35" s="85">
        <f t="shared" si="3"/>
        <v>10</v>
      </c>
    </row>
    <row r="36" spans="1:18" s="86" customFormat="1" ht="16.5" thickBot="1" x14ac:dyDescent="0.3">
      <c r="A36" s="46"/>
      <c r="B36" s="46"/>
      <c r="C36" s="46"/>
      <c r="D36" s="87"/>
      <c r="E36" s="88"/>
      <c r="F36" s="88"/>
      <c r="G36" s="88"/>
      <c r="H36" s="88"/>
      <c r="I36" s="88"/>
      <c r="J36" s="88"/>
      <c r="L36" s="88"/>
      <c r="M36" s="88"/>
      <c r="N36" s="88"/>
      <c r="O36" s="88"/>
      <c r="P36" s="88"/>
      <c r="Q36" s="88"/>
      <c r="R36" s="88"/>
    </row>
    <row r="37" spans="1:18" s="86" customFormat="1" ht="16.5" thickBot="1" x14ac:dyDescent="0.3">
      <c r="A37" s="46"/>
      <c r="B37" s="46"/>
      <c r="C37" s="46"/>
      <c r="D37" s="209" t="s">
        <v>178</v>
      </c>
      <c r="E37" s="210" t="s">
        <v>194</v>
      </c>
      <c r="F37" s="210" t="s">
        <v>195</v>
      </c>
      <c r="G37" s="210" t="s">
        <v>196</v>
      </c>
      <c r="H37" s="210" t="s">
        <v>197</v>
      </c>
      <c r="I37" s="210" t="s">
        <v>198</v>
      </c>
      <c r="J37" s="211" t="s">
        <v>181</v>
      </c>
      <c r="L37" s="209" t="s">
        <v>178</v>
      </c>
      <c r="M37" s="210" t="s">
        <v>194</v>
      </c>
      <c r="N37" s="210" t="s">
        <v>195</v>
      </c>
      <c r="O37" s="210" t="s">
        <v>196</v>
      </c>
      <c r="P37" s="210" t="s">
        <v>197</v>
      </c>
      <c r="Q37" s="210" t="s">
        <v>198</v>
      </c>
      <c r="R37" s="211" t="s">
        <v>181</v>
      </c>
    </row>
    <row r="38" spans="1:18" ht="15.75" x14ac:dyDescent="0.25">
      <c r="A38" s="449" t="s">
        <v>35</v>
      </c>
      <c r="B38" s="340" t="s">
        <v>36</v>
      </c>
      <c r="C38" s="10" t="s">
        <v>221</v>
      </c>
      <c r="D38" s="79" t="s">
        <v>3</v>
      </c>
      <c r="E38" s="43" t="s">
        <v>3</v>
      </c>
      <c r="F38" s="43" t="s">
        <v>3</v>
      </c>
      <c r="G38" s="43" t="s">
        <v>3</v>
      </c>
      <c r="H38" s="43" t="s">
        <v>3</v>
      </c>
      <c r="I38" s="43" t="s">
        <v>3</v>
      </c>
      <c r="J38" s="43" t="s">
        <v>3</v>
      </c>
      <c r="L38" s="43" t="s">
        <v>3</v>
      </c>
      <c r="M38" s="43" t="s">
        <v>3</v>
      </c>
      <c r="N38" s="43" t="s">
        <v>3</v>
      </c>
      <c r="O38" s="43" t="s">
        <v>3</v>
      </c>
      <c r="P38" s="43" t="s">
        <v>3</v>
      </c>
      <c r="Q38" s="43" t="s">
        <v>3</v>
      </c>
      <c r="R38" s="44" t="s">
        <v>3</v>
      </c>
    </row>
    <row r="39" spans="1:18" ht="15.75" x14ac:dyDescent="0.25">
      <c r="A39" s="338"/>
      <c r="B39" s="341"/>
      <c r="C39" s="11" t="s">
        <v>223</v>
      </c>
      <c r="D39" s="80">
        <v>4</v>
      </c>
      <c r="E39" s="32">
        <v>4</v>
      </c>
      <c r="F39" s="32">
        <v>4</v>
      </c>
      <c r="G39" s="32">
        <v>3</v>
      </c>
      <c r="H39" s="32">
        <v>4</v>
      </c>
      <c r="I39" s="32">
        <v>4</v>
      </c>
      <c r="J39" s="32">
        <v>4</v>
      </c>
      <c r="L39" s="32">
        <v>4</v>
      </c>
      <c r="M39" s="32">
        <v>4</v>
      </c>
      <c r="N39" s="32">
        <v>4</v>
      </c>
      <c r="O39" s="32">
        <v>3</v>
      </c>
      <c r="P39" s="32">
        <v>4</v>
      </c>
      <c r="Q39" s="32">
        <v>4</v>
      </c>
      <c r="R39" s="35">
        <v>4</v>
      </c>
    </row>
    <row r="40" spans="1:18" ht="15.75" x14ac:dyDescent="0.25">
      <c r="A40" s="338"/>
      <c r="B40" s="341"/>
      <c r="C40" s="11" t="s">
        <v>222</v>
      </c>
      <c r="D40" s="80">
        <v>5</v>
      </c>
      <c r="E40" s="32">
        <v>4</v>
      </c>
      <c r="F40" s="32">
        <v>4</v>
      </c>
      <c r="G40" s="32">
        <v>5</v>
      </c>
      <c r="H40" s="32">
        <v>4</v>
      </c>
      <c r="I40" s="32">
        <v>5</v>
      </c>
      <c r="J40" s="32">
        <v>4</v>
      </c>
      <c r="L40" s="32">
        <v>5</v>
      </c>
      <c r="M40" s="32">
        <v>4</v>
      </c>
      <c r="N40" s="32">
        <v>4</v>
      </c>
      <c r="O40" s="32">
        <v>5</v>
      </c>
      <c r="P40" s="32">
        <v>4</v>
      </c>
      <c r="Q40" s="32">
        <v>5</v>
      </c>
      <c r="R40" s="35">
        <v>4</v>
      </c>
    </row>
    <row r="41" spans="1:18" ht="31.5" x14ac:dyDescent="0.25">
      <c r="A41" s="338"/>
      <c r="B41" s="341"/>
      <c r="C41" s="11" t="s">
        <v>37</v>
      </c>
      <c r="D41" s="80">
        <v>5</v>
      </c>
      <c r="E41" s="32">
        <v>5</v>
      </c>
      <c r="F41" s="32">
        <v>5</v>
      </c>
      <c r="G41" s="32">
        <v>5</v>
      </c>
      <c r="H41" s="32">
        <v>5</v>
      </c>
      <c r="I41" s="32">
        <v>5</v>
      </c>
      <c r="J41" s="32">
        <v>5</v>
      </c>
      <c r="L41" s="32">
        <v>5</v>
      </c>
      <c r="M41" s="32">
        <v>5</v>
      </c>
      <c r="N41" s="32">
        <v>5</v>
      </c>
      <c r="O41" s="32">
        <v>5</v>
      </c>
      <c r="P41" s="32">
        <v>5</v>
      </c>
      <c r="Q41" s="32">
        <v>5</v>
      </c>
      <c r="R41" s="35">
        <v>5</v>
      </c>
    </row>
    <row r="42" spans="1:18" ht="15.75" x14ac:dyDescent="0.25">
      <c r="A42" s="338"/>
      <c r="B42" s="341"/>
      <c r="C42" s="11" t="s">
        <v>38</v>
      </c>
      <c r="D42" s="80">
        <v>5</v>
      </c>
      <c r="E42" s="32">
        <v>4</v>
      </c>
      <c r="F42" s="32">
        <v>4</v>
      </c>
      <c r="G42" s="32">
        <v>3</v>
      </c>
      <c r="H42" s="32">
        <v>4</v>
      </c>
      <c r="I42" s="32">
        <v>5</v>
      </c>
      <c r="J42" s="32">
        <v>4</v>
      </c>
      <c r="L42" s="32">
        <v>5</v>
      </c>
      <c r="M42" s="32">
        <v>4</v>
      </c>
      <c r="N42" s="32">
        <v>4</v>
      </c>
      <c r="O42" s="32">
        <v>3</v>
      </c>
      <c r="P42" s="32">
        <v>4</v>
      </c>
      <c r="Q42" s="32">
        <v>5</v>
      </c>
      <c r="R42" s="35">
        <v>4</v>
      </c>
    </row>
    <row r="43" spans="1:18" ht="15.75" x14ac:dyDescent="0.25">
      <c r="A43" s="338"/>
      <c r="B43" s="341"/>
      <c r="C43" s="11" t="s">
        <v>39</v>
      </c>
      <c r="D43" s="80">
        <v>4</v>
      </c>
      <c r="E43" s="32">
        <v>4</v>
      </c>
      <c r="F43" s="32">
        <v>4</v>
      </c>
      <c r="G43" s="32">
        <v>3</v>
      </c>
      <c r="H43" s="32">
        <v>4</v>
      </c>
      <c r="I43" s="32">
        <v>3</v>
      </c>
      <c r="J43" s="32">
        <v>4</v>
      </c>
      <c r="L43" s="32">
        <v>4</v>
      </c>
      <c r="M43" s="32">
        <v>4</v>
      </c>
      <c r="N43" s="32">
        <v>4</v>
      </c>
      <c r="O43" s="32">
        <v>3</v>
      </c>
      <c r="P43" s="32">
        <v>4</v>
      </c>
      <c r="Q43" s="32">
        <v>3</v>
      </c>
      <c r="R43" s="35">
        <v>4</v>
      </c>
    </row>
    <row r="44" spans="1:18" ht="16.5" thickBot="1" x14ac:dyDescent="0.3">
      <c r="A44" s="338"/>
      <c r="B44" s="342"/>
      <c r="C44" s="12" t="s">
        <v>40</v>
      </c>
      <c r="D44" s="72">
        <v>5</v>
      </c>
      <c r="E44" s="38">
        <v>4</v>
      </c>
      <c r="F44" s="38">
        <v>4</v>
      </c>
      <c r="G44" s="38">
        <v>3</v>
      </c>
      <c r="H44" s="38">
        <v>4</v>
      </c>
      <c r="I44" s="38">
        <v>3</v>
      </c>
      <c r="J44" s="38">
        <v>4</v>
      </c>
      <c r="L44" s="38">
        <v>5</v>
      </c>
      <c r="M44" s="38">
        <v>4</v>
      </c>
      <c r="N44" s="38">
        <v>4</v>
      </c>
      <c r="O44" s="38">
        <v>3</v>
      </c>
      <c r="P44" s="38">
        <v>4</v>
      </c>
      <c r="Q44" s="38">
        <v>3</v>
      </c>
      <c r="R44" s="39">
        <v>4</v>
      </c>
    </row>
    <row r="45" spans="1:18" ht="31.5" x14ac:dyDescent="0.25">
      <c r="A45" s="338"/>
      <c r="B45" s="340" t="s">
        <v>41</v>
      </c>
      <c r="C45" s="10" t="s">
        <v>42</v>
      </c>
      <c r="D45" s="70">
        <v>4</v>
      </c>
      <c r="E45" s="33">
        <v>4</v>
      </c>
      <c r="F45" s="33">
        <v>4</v>
      </c>
      <c r="G45" s="33">
        <v>5</v>
      </c>
      <c r="H45" s="33">
        <v>4</v>
      </c>
      <c r="I45" s="33">
        <v>3</v>
      </c>
      <c r="J45" s="33">
        <v>5</v>
      </c>
      <c r="L45" s="33">
        <v>4</v>
      </c>
      <c r="M45" s="33">
        <v>4</v>
      </c>
      <c r="N45" s="33">
        <v>4</v>
      </c>
      <c r="O45" s="33">
        <v>5</v>
      </c>
      <c r="P45" s="33">
        <v>4</v>
      </c>
      <c r="Q45" s="33">
        <v>3</v>
      </c>
      <c r="R45" s="34">
        <v>5</v>
      </c>
    </row>
    <row r="46" spans="1:18" ht="15.75" x14ac:dyDescent="0.25">
      <c r="A46" s="338"/>
      <c r="B46" s="341"/>
      <c r="C46" s="11" t="s">
        <v>43</v>
      </c>
      <c r="D46" s="80">
        <v>4</v>
      </c>
      <c r="E46" s="32">
        <v>4</v>
      </c>
      <c r="F46" s="32">
        <v>4</v>
      </c>
      <c r="G46" s="32">
        <v>5</v>
      </c>
      <c r="H46" s="32">
        <v>4</v>
      </c>
      <c r="I46" s="32">
        <v>4</v>
      </c>
      <c r="J46" s="32">
        <v>5</v>
      </c>
      <c r="L46" s="32">
        <v>4</v>
      </c>
      <c r="M46" s="32">
        <v>4</v>
      </c>
      <c r="N46" s="32">
        <v>4</v>
      </c>
      <c r="O46" s="32">
        <v>5</v>
      </c>
      <c r="P46" s="32">
        <v>4</v>
      </c>
      <c r="Q46" s="32">
        <v>4</v>
      </c>
      <c r="R46" s="35">
        <v>5</v>
      </c>
    </row>
    <row r="47" spans="1:18" ht="15.75" x14ac:dyDescent="0.25">
      <c r="A47" s="338"/>
      <c r="B47" s="341"/>
      <c r="C47" s="11" t="s">
        <v>44</v>
      </c>
      <c r="D47" s="80">
        <v>4</v>
      </c>
      <c r="E47" s="32">
        <v>5</v>
      </c>
      <c r="F47" s="32">
        <v>5</v>
      </c>
      <c r="G47" s="32">
        <v>4</v>
      </c>
      <c r="H47" s="32">
        <v>5</v>
      </c>
      <c r="I47" s="32">
        <v>6</v>
      </c>
      <c r="J47" s="32">
        <v>3</v>
      </c>
      <c r="L47" s="32">
        <v>4</v>
      </c>
      <c r="M47" s="32">
        <v>5</v>
      </c>
      <c r="N47" s="32">
        <v>5</v>
      </c>
      <c r="O47" s="32">
        <v>4</v>
      </c>
      <c r="P47" s="32">
        <v>5</v>
      </c>
      <c r="Q47" s="32">
        <v>6</v>
      </c>
      <c r="R47" s="35">
        <v>3</v>
      </c>
    </row>
    <row r="48" spans="1:18" ht="15.75" x14ac:dyDescent="0.25">
      <c r="A48" s="338"/>
      <c r="B48" s="341"/>
      <c r="C48" s="11" t="s">
        <v>45</v>
      </c>
      <c r="D48" s="80">
        <v>4</v>
      </c>
      <c r="E48" s="32">
        <v>3</v>
      </c>
      <c r="F48" s="32">
        <v>3</v>
      </c>
      <c r="G48" s="32">
        <v>3</v>
      </c>
      <c r="H48" s="32">
        <v>3</v>
      </c>
      <c r="I48" s="32">
        <v>3</v>
      </c>
      <c r="J48" s="32">
        <v>3</v>
      </c>
      <c r="L48" s="32">
        <v>4</v>
      </c>
      <c r="M48" s="32">
        <v>3</v>
      </c>
      <c r="N48" s="32">
        <v>3</v>
      </c>
      <c r="O48" s="32">
        <v>3</v>
      </c>
      <c r="P48" s="32">
        <v>3</v>
      </c>
      <c r="Q48" s="32">
        <v>3</v>
      </c>
      <c r="R48" s="35">
        <v>3</v>
      </c>
    </row>
    <row r="49" spans="1:18" ht="15.75" x14ac:dyDescent="0.25">
      <c r="A49" s="338"/>
      <c r="B49" s="341"/>
      <c r="C49" s="11" t="s">
        <v>46</v>
      </c>
      <c r="D49" s="80">
        <v>4</v>
      </c>
      <c r="E49" s="32">
        <v>3</v>
      </c>
      <c r="F49" s="32">
        <v>3</v>
      </c>
      <c r="G49" s="32">
        <v>3</v>
      </c>
      <c r="H49" s="32">
        <v>3</v>
      </c>
      <c r="I49" s="32">
        <v>3</v>
      </c>
      <c r="J49" s="32">
        <v>3</v>
      </c>
      <c r="L49" s="32">
        <v>4</v>
      </c>
      <c r="M49" s="32">
        <v>3</v>
      </c>
      <c r="N49" s="32">
        <v>3</v>
      </c>
      <c r="O49" s="32">
        <v>3</v>
      </c>
      <c r="P49" s="32">
        <v>3</v>
      </c>
      <c r="Q49" s="32">
        <v>3</v>
      </c>
      <c r="R49" s="35">
        <v>3</v>
      </c>
    </row>
    <row r="50" spans="1:18" ht="15.75" x14ac:dyDescent="0.25">
      <c r="A50" s="338"/>
      <c r="B50" s="341"/>
      <c r="C50" s="11" t="s">
        <v>47</v>
      </c>
      <c r="D50" s="80">
        <v>4</v>
      </c>
      <c r="E50" s="32">
        <v>3</v>
      </c>
      <c r="F50" s="32">
        <v>3</v>
      </c>
      <c r="G50" s="32">
        <v>3</v>
      </c>
      <c r="H50" s="32">
        <v>3</v>
      </c>
      <c r="I50" s="32">
        <v>3</v>
      </c>
      <c r="J50" s="32">
        <v>3</v>
      </c>
      <c r="L50" s="32">
        <v>4</v>
      </c>
      <c r="M50" s="32">
        <v>3</v>
      </c>
      <c r="N50" s="32">
        <v>3</v>
      </c>
      <c r="O50" s="32">
        <v>3</v>
      </c>
      <c r="P50" s="32">
        <v>3</v>
      </c>
      <c r="Q50" s="32">
        <v>3</v>
      </c>
      <c r="R50" s="35">
        <v>3</v>
      </c>
    </row>
    <row r="51" spans="1:18" ht="16.5" thickBot="1" x14ac:dyDescent="0.3">
      <c r="A51" s="338"/>
      <c r="B51" s="342"/>
      <c r="C51" s="12" t="s">
        <v>48</v>
      </c>
      <c r="D51" s="72">
        <v>4</v>
      </c>
      <c r="E51" s="38">
        <v>3</v>
      </c>
      <c r="F51" s="38">
        <v>3</v>
      </c>
      <c r="G51" s="38">
        <v>3</v>
      </c>
      <c r="H51" s="38">
        <v>3</v>
      </c>
      <c r="I51" s="38">
        <v>3</v>
      </c>
      <c r="J51" s="38">
        <v>3</v>
      </c>
      <c r="L51" s="38">
        <v>4</v>
      </c>
      <c r="M51" s="38">
        <v>3</v>
      </c>
      <c r="N51" s="38">
        <v>3</v>
      </c>
      <c r="O51" s="38">
        <v>3</v>
      </c>
      <c r="P51" s="38">
        <v>3</v>
      </c>
      <c r="Q51" s="38">
        <v>3</v>
      </c>
      <c r="R51" s="39">
        <v>3</v>
      </c>
    </row>
    <row r="52" spans="1:18" ht="32.25" thickBot="1" x14ac:dyDescent="0.3">
      <c r="A52" s="338"/>
      <c r="B52" s="13" t="s">
        <v>49</v>
      </c>
      <c r="C52" s="14" t="s">
        <v>50</v>
      </c>
      <c r="D52" s="55">
        <v>28</v>
      </c>
      <c r="E52" s="41">
        <v>25</v>
      </c>
      <c r="F52" s="50">
        <v>25</v>
      </c>
      <c r="G52" s="41">
        <v>26</v>
      </c>
      <c r="H52" s="50">
        <v>25</v>
      </c>
      <c r="I52" s="41">
        <v>25</v>
      </c>
      <c r="J52" s="41">
        <v>25</v>
      </c>
      <c r="L52" s="41">
        <v>28</v>
      </c>
      <c r="M52" s="41">
        <v>25</v>
      </c>
      <c r="N52" s="50">
        <v>25</v>
      </c>
      <c r="O52" s="41">
        <v>26</v>
      </c>
      <c r="P52" s="50">
        <v>25</v>
      </c>
      <c r="Q52" s="41">
        <v>25</v>
      </c>
      <c r="R52" s="42">
        <v>25</v>
      </c>
    </row>
    <row r="53" spans="1:18" ht="32.25" thickBot="1" x14ac:dyDescent="0.3">
      <c r="A53" s="339"/>
      <c r="B53" s="13" t="s">
        <v>51</v>
      </c>
      <c r="C53" s="15" t="s">
        <v>52</v>
      </c>
      <c r="D53" s="52">
        <v>16</v>
      </c>
      <c r="E53" s="49">
        <v>25</v>
      </c>
      <c r="F53" s="49">
        <v>25</v>
      </c>
      <c r="G53" s="49">
        <v>26</v>
      </c>
      <c r="H53" s="49">
        <v>25</v>
      </c>
      <c r="I53" s="49">
        <v>25</v>
      </c>
      <c r="J53" s="49">
        <v>25</v>
      </c>
      <c r="L53" s="40">
        <v>16</v>
      </c>
      <c r="M53" s="49">
        <v>25</v>
      </c>
      <c r="N53" s="49">
        <v>25</v>
      </c>
      <c r="O53" s="49">
        <v>26</v>
      </c>
      <c r="P53" s="49">
        <v>25</v>
      </c>
      <c r="Q53" s="49">
        <v>25</v>
      </c>
      <c r="R53" s="51">
        <v>25</v>
      </c>
    </row>
    <row r="54" spans="1:18" ht="15.75" x14ac:dyDescent="0.25">
      <c r="A54" s="450" t="s">
        <v>34</v>
      </c>
      <c r="B54" s="451"/>
      <c r="C54" s="452"/>
      <c r="D54" s="90">
        <f t="shared" ref="D54:I54" si="4">SUM(D38:D53)</f>
        <v>100</v>
      </c>
      <c r="E54" s="90">
        <f t="shared" si="4"/>
        <v>100</v>
      </c>
      <c r="F54" s="90">
        <f t="shared" si="4"/>
        <v>100</v>
      </c>
      <c r="G54" s="90">
        <f t="shared" si="4"/>
        <v>100</v>
      </c>
      <c r="H54" s="90">
        <f t="shared" si="4"/>
        <v>100</v>
      </c>
      <c r="I54" s="90">
        <f t="shared" si="4"/>
        <v>100</v>
      </c>
      <c r="J54" s="90">
        <f t="shared" ref="J54" si="5">SUM(J38:J53)</f>
        <v>100</v>
      </c>
      <c r="L54" s="90">
        <f t="shared" ref="L54:R54" si="6">SUM(L38:L53)</f>
        <v>100</v>
      </c>
      <c r="M54" s="90">
        <f t="shared" si="6"/>
        <v>100</v>
      </c>
      <c r="N54" s="90">
        <f t="shared" si="6"/>
        <v>100</v>
      </c>
      <c r="O54" s="90">
        <f t="shared" si="6"/>
        <v>100</v>
      </c>
      <c r="P54" s="90">
        <f t="shared" si="6"/>
        <v>100</v>
      </c>
      <c r="Q54" s="90">
        <f t="shared" si="6"/>
        <v>100</v>
      </c>
      <c r="R54" s="90">
        <f t="shared" si="6"/>
        <v>100</v>
      </c>
    </row>
    <row r="55" spans="1:18" s="86" customFormat="1" ht="16.5" thickBot="1" x14ac:dyDescent="0.3">
      <c r="A55" s="453"/>
      <c r="B55" s="454"/>
      <c r="C55" s="455"/>
      <c r="D55" s="91">
        <f t="shared" ref="D55:I55" si="7">D54*0.2</f>
        <v>20</v>
      </c>
      <c r="E55" s="91">
        <f t="shared" si="7"/>
        <v>20</v>
      </c>
      <c r="F55" s="91">
        <f t="shared" si="7"/>
        <v>20</v>
      </c>
      <c r="G55" s="91">
        <f t="shared" si="7"/>
        <v>20</v>
      </c>
      <c r="H55" s="91">
        <f t="shared" si="7"/>
        <v>20</v>
      </c>
      <c r="I55" s="91">
        <f t="shared" si="7"/>
        <v>20</v>
      </c>
      <c r="J55" s="91">
        <f t="shared" ref="J55" si="8">J54*0.2</f>
        <v>20</v>
      </c>
      <c r="L55" s="91">
        <f t="shared" ref="L55:R55" si="9">L54*0.2</f>
        <v>20</v>
      </c>
      <c r="M55" s="91">
        <f t="shared" si="9"/>
        <v>20</v>
      </c>
      <c r="N55" s="91">
        <f t="shared" si="9"/>
        <v>20</v>
      </c>
      <c r="O55" s="91">
        <f t="shared" si="9"/>
        <v>20</v>
      </c>
      <c r="P55" s="91">
        <f t="shared" si="9"/>
        <v>20</v>
      </c>
      <c r="Q55" s="91">
        <f t="shared" si="9"/>
        <v>20</v>
      </c>
      <c r="R55" s="91">
        <f t="shared" si="9"/>
        <v>20</v>
      </c>
    </row>
    <row r="56" spans="1:18" s="86" customFormat="1" ht="16.5" thickBot="1" x14ac:dyDescent="0.3">
      <c r="A56" s="46"/>
      <c r="B56" s="46"/>
      <c r="C56" s="46"/>
      <c r="D56" s="92"/>
      <c r="E56" s="88"/>
      <c r="F56" s="88"/>
      <c r="G56" s="88"/>
      <c r="H56" s="88"/>
      <c r="I56" s="88"/>
      <c r="J56" s="88"/>
      <c r="L56" s="88"/>
      <c r="M56" s="88"/>
      <c r="N56" s="88"/>
      <c r="O56" s="88"/>
      <c r="P56" s="88"/>
      <c r="Q56" s="88"/>
      <c r="R56" s="88"/>
    </row>
    <row r="57" spans="1:18" s="86" customFormat="1" ht="16.5" thickBot="1" x14ac:dyDescent="0.3">
      <c r="A57" s="46"/>
      <c r="B57" s="46"/>
      <c r="C57" s="46"/>
      <c r="D57" s="209" t="s">
        <v>178</v>
      </c>
      <c r="E57" s="210" t="s">
        <v>194</v>
      </c>
      <c r="F57" s="210" t="s">
        <v>195</v>
      </c>
      <c r="G57" s="210" t="s">
        <v>196</v>
      </c>
      <c r="H57" s="210" t="s">
        <v>197</v>
      </c>
      <c r="I57" s="210" t="s">
        <v>198</v>
      </c>
      <c r="J57" s="211" t="s">
        <v>181</v>
      </c>
      <c r="L57" s="209" t="s">
        <v>178</v>
      </c>
      <c r="M57" s="210" t="s">
        <v>194</v>
      </c>
      <c r="N57" s="210" t="s">
        <v>195</v>
      </c>
      <c r="O57" s="210" t="s">
        <v>196</v>
      </c>
      <c r="P57" s="210" t="s">
        <v>197</v>
      </c>
      <c r="Q57" s="210" t="s">
        <v>198</v>
      </c>
      <c r="R57" s="211" t="s">
        <v>181</v>
      </c>
    </row>
    <row r="58" spans="1:18" ht="48" thickBot="1" x14ac:dyDescent="0.3">
      <c r="A58" s="319" t="s">
        <v>53</v>
      </c>
      <c r="B58" s="94" t="s">
        <v>54</v>
      </c>
      <c r="C58" s="16" t="s">
        <v>225</v>
      </c>
      <c r="D58" s="55">
        <v>25</v>
      </c>
      <c r="E58" s="56">
        <v>25</v>
      </c>
      <c r="F58" s="56">
        <v>25</v>
      </c>
      <c r="G58" s="56">
        <v>25</v>
      </c>
      <c r="H58" s="56">
        <v>25</v>
      </c>
      <c r="I58" s="56">
        <v>25</v>
      </c>
      <c r="J58" s="56">
        <v>25</v>
      </c>
      <c r="L58" s="56">
        <v>10</v>
      </c>
      <c r="M58" s="56">
        <v>10</v>
      </c>
      <c r="N58" s="56">
        <v>10</v>
      </c>
      <c r="O58" s="56">
        <v>10</v>
      </c>
      <c r="P58" s="56">
        <v>10</v>
      </c>
      <c r="Q58" s="56">
        <v>10</v>
      </c>
      <c r="R58" s="57">
        <v>10</v>
      </c>
    </row>
    <row r="59" spans="1:18" ht="15.75" x14ac:dyDescent="0.25">
      <c r="A59" s="320"/>
      <c r="B59" s="322" t="s">
        <v>55</v>
      </c>
      <c r="C59" s="17" t="s">
        <v>56</v>
      </c>
      <c r="D59" s="70">
        <v>11</v>
      </c>
      <c r="E59" s="58">
        <v>11</v>
      </c>
      <c r="F59" s="58">
        <v>11</v>
      </c>
      <c r="G59" s="58">
        <v>11</v>
      </c>
      <c r="H59" s="58">
        <v>11</v>
      </c>
      <c r="I59" s="58">
        <v>11</v>
      </c>
      <c r="J59" s="58">
        <v>11</v>
      </c>
      <c r="L59" s="58">
        <v>5</v>
      </c>
      <c r="M59" s="58">
        <v>5</v>
      </c>
      <c r="N59" s="58">
        <v>5</v>
      </c>
      <c r="O59" s="58">
        <v>5</v>
      </c>
      <c r="P59" s="58">
        <v>5</v>
      </c>
      <c r="Q59" s="58">
        <v>5</v>
      </c>
      <c r="R59" s="59">
        <v>5</v>
      </c>
    </row>
    <row r="60" spans="1:18" ht="16.5" thickBot="1" x14ac:dyDescent="0.3">
      <c r="A60" s="320"/>
      <c r="B60" s="323"/>
      <c r="C60" s="18" t="s">
        <v>226</v>
      </c>
      <c r="D60" s="72">
        <v>10</v>
      </c>
      <c r="E60" s="62">
        <v>10</v>
      </c>
      <c r="F60" s="62">
        <v>10</v>
      </c>
      <c r="G60" s="62">
        <v>10</v>
      </c>
      <c r="H60" s="62">
        <v>10</v>
      </c>
      <c r="I60" s="62">
        <v>10</v>
      </c>
      <c r="J60" s="62">
        <v>10</v>
      </c>
      <c r="L60" s="62">
        <v>11</v>
      </c>
      <c r="M60" s="62">
        <v>11</v>
      </c>
      <c r="N60" s="62">
        <v>11</v>
      </c>
      <c r="O60" s="62">
        <v>11</v>
      </c>
      <c r="P60" s="62">
        <v>11</v>
      </c>
      <c r="Q60" s="62">
        <v>11</v>
      </c>
      <c r="R60" s="63">
        <v>11</v>
      </c>
    </row>
    <row r="61" spans="1:18" ht="16.5" thickBot="1" x14ac:dyDescent="0.3">
      <c r="A61" s="320"/>
      <c r="B61" s="95" t="s">
        <v>57</v>
      </c>
      <c r="C61" s="19" t="s">
        <v>227</v>
      </c>
      <c r="D61" s="55">
        <v>5</v>
      </c>
      <c r="E61" s="56">
        <v>5</v>
      </c>
      <c r="F61" s="56">
        <v>5</v>
      </c>
      <c r="G61" s="56">
        <v>5</v>
      </c>
      <c r="H61" s="56">
        <v>5</v>
      </c>
      <c r="I61" s="56">
        <v>5</v>
      </c>
      <c r="J61" s="56">
        <v>5</v>
      </c>
      <c r="L61" s="56">
        <v>5</v>
      </c>
      <c r="M61" s="56">
        <v>5</v>
      </c>
      <c r="N61" s="56">
        <v>5</v>
      </c>
      <c r="O61" s="56">
        <v>5</v>
      </c>
      <c r="P61" s="56">
        <v>5</v>
      </c>
      <c r="Q61" s="56">
        <v>5</v>
      </c>
      <c r="R61" s="57">
        <v>5</v>
      </c>
    </row>
    <row r="62" spans="1:18" ht="32.25" thickBot="1" x14ac:dyDescent="0.3">
      <c r="A62" s="320"/>
      <c r="B62" s="94" t="s">
        <v>58</v>
      </c>
      <c r="C62" s="20" t="s">
        <v>59</v>
      </c>
      <c r="D62" s="55">
        <v>8</v>
      </c>
      <c r="E62" s="56">
        <v>8</v>
      </c>
      <c r="F62" s="56">
        <v>8</v>
      </c>
      <c r="G62" s="56">
        <v>8</v>
      </c>
      <c r="H62" s="56">
        <v>8</v>
      </c>
      <c r="I62" s="56">
        <v>8</v>
      </c>
      <c r="J62" s="56">
        <v>8</v>
      </c>
      <c r="L62" s="56">
        <v>20</v>
      </c>
      <c r="M62" s="56">
        <v>20</v>
      </c>
      <c r="N62" s="56">
        <v>20</v>
      </c>
      <c r="O62" s="56">
        <v>20</v>
      </c>
      <c r="P62" s="56">
        <v>20</v>
      </c>
      <c r="Q62" s="56">
        <v>20</v>
      </c>
      <c r="R62" s="57">
        <v>20</v>
      </c>
    </row>
    <row r="63" spans="1:18" ht="16.5" thickBot="1" x14ac:dyDescent="0.3">
      <c r="A63" s="320"/>
      <c r="B63" s="96" t="s">
        <v>60</v>
      </c>
      <c r="C63" s="21" t="s">
        <v>61</v>
      </c>
      <c r="D63" s="55">
        <v>6</v>
      </c>
      <c r="E63" s="56">
        <v>6</v>
      </c>
      <c r="F63" s="56">
        <v>6</v>
      </c>
      <c r="G63" s="56">
        <v>6</v>
      </c>
      <c r="H63" s="56">
        <v>6</v>
      </c>
      <c r="I63" s="56">
        <v>6</v>
      </c>
      <c r="J63" s="56">
        <v>6</v>
      </c>
      <c r="L63" s="56">
        <v>6</v>
      </c>
      <c r="M63" s="56">
        <v>6</v>
      </c>
      <c r="N63" s="56">
        <v>6</v>
      </c>
      <c r="O63" s="56">
        <v>6</v>
      </c>
      <c r="P63" s="56">
        <v>6</v>
      </c>
      <c r="Q63" s="56">
        <v>6</v>
      </c>
      <c r="R63" s="57">
        <v>6</v>
      </c>
    </row>
    <row r="64" spans="1:18" ht="15.75" x14ac:dyDescent="0.25">
      <c r="A64" s="320"/>
      <c r="B64" s="322" t="s">
        <v>62</v>
      </c>
      <c r="C64" s="17" t="s">
        <v>228</v>
      </c>
      <c r="D64" s="70">
        <v>5</v>
      </c>
      <c r="E64" s="58">
        <v>5</v>
      </c>
      <c r="F64" s="58">
        <v>5</v>
      </c>
      <c r="G64" s="58">
        <v>5</v>
      </c>
      <c r="H64" s="58">
        <v>5</v>
      </c>
      <c r="I64" s="58">
        <v>5</v>
      </c>
      <c r="J64" s="58">
        <v>5</v>
      </c>
      <c r="L64" s="58">
        <v>6</v>
      </c>
      <c r="M64" s="58">
        <v>6</v>
      </c>
      <c r="N64" s="58">
        <v>6</v>
      </c>
      <c r="O64" s="58">
        <v>6</v>
      </c>
      <c r="P64" s="58">
        <v>6</v>
      </c>
      <c r="Q64" s="58">
        <v>6</v>
      </c>
      <c r="R64" s="59">
        <v>6</v>
      </c>
    </row>
    <row r="65" spans="1:18" ht="15.75" x14ac:dyDescent="0.25">
      <c r="A65" s="320"/>
      <c r="B65" s="324"/>
      <c r="C65" s="22" t="s">
        <v>63</v>
      </c>
      <c r="D65" s="80">
        <v>5</v>
      </c>
      <c r="E65" s="31">
        <v>5</v>
      </c>
      <c r="F65" s="31">
        <v>5</v>
      </c>
      <c r="G65" s="31">
        <v>5</v>
      </c>
      <c r="H65" s="31">
        <v>5</v>
      </c>
      <c r="I65" s="31">
        <v>5</v>
      </c>
      <c r="J65" s="31">
        <v>5</v>
      </c>
      <c r="L65" s="31">
        <v>5</v>
      </c>
      <c r="M65" s="31">
        <v>5</v>
      </c>
      <c r="N65" s="31">
        <v>5</v>
      </c>
      <c r="O65" s="31">
        <v>5</v>
      </c>
      <c r="P65" s="31">
        <v>5</v>
      </c>
      <c r="Q65" s="31">
        <v>5</v>
      </c>
      <c r="R65" s="64">
        <v>5</v>
      </c>
    </row>
    <row r="66" spans="1:18" ht="15.75" x14ac:dyDescent="0.25">
      <c r="A66" s="320"/>
      <c r="B66" s="324"/>
      <c r="C66" s="22" t="s">
        <v>64</v>
      </c>
      <c r="D66" s="80">
        <v>6</v>
      </c>
      <c r="E66" s="31">
        <v>6</v>
      </c>
      <c r="F66" s="31">
        <v>6</v>
      </c>
      <c r="G66" s="31">
        <v>6</v>
      </c>
      <c r="H66" s="31">
        <v>6</v>
      </c>
      <c r="I66" s="31">
        <v>6</v>
      </c>
      <c r="J66" s="31">
        <v>6</v>
      </c>
      <c r="L66" s="31">
        <v>5</v>
      </c>
      <c r="M66" s="31">
        <v>5</v>
      </c>
      <c r="N66" s="31">
        <v>5</v>
      </c>
      <c r="O66" s="31">
        <v>5</v>
      </c>
      <c r="P66" s="31">
        <v>5</v>
      </c>
      <c r="Q66" s="31">
        <v>5</v>
      </c>
      <c r="R66" s="64">
        <v>5</v>
      </c>
    </row>
    <row r="67" spans="1:18" ht="32.25" thickBot="1" x14ac:dyDescent="0.3">
      <c r="A67" s="320"/>
      <c r="B67" s="323"/>
      <c r="C67" s="18" t="s">
        <v>65</v>
      </c>
      <c r="D67" s="72">
        <v>10</v>
      </c>
      <c r="E67" s="62">
        <v>10</v>
      </c>
      <c r="F67" s="62">
        <v>10</v>
      </c>
      <c r="G67" s="62">
        <v>10</v>
      </c>
      <c r="H67" s="62">
        <v>10</v>
      </c>
      <c r="I67" s="62">
        <v>10</v>
      </c>
      <c r="J67" s="62">
        <v>10</v>
      </c>
      <c r="L67" s="62">
        <v>13</v>
      </c>
      <c r="M67" s="62">
        <v>13</v>
      </c>
      <c r="N67" s="62">
        <v>13</v>
      </c>
      <c r="O67" s="62">
        <v>13</v>
      </c>
      <c r="P67" s="62">
        <v>13</v>
      </c>
      <c r="Q67" s="62">
        <v>13</v>
      </c>
      <c r="R67" s="63">
        <v>13</v>
      </c>
    </row>
    <row r="68" spans="1:18" ht="15.75" x14ac:dyDescent="0.25">
      <c r="A68" s="320"/>
      <c r="B68" s="322" t="s">
        <v>66</v>
      </c>
      <c r="C68" s="17" t="s">
        <v>67</v>
      </c>
      <c r="D68" s="70">
        <v>3</v>
      </c>
      <c r="E68" s="58">
        <v>3</v>
      </c>
      <c r="F68" s="58">
        <v>3</v>
      </c>
      <c r="G68" s="58">
        <v>3</v>
      </c>
      <c r="H68" s="58">
        <v>3</v>
      </c>
      <c r="I68" s="58">
        <v>3</v>
      </c>
      <c r="J68" s="58">
        <v>3</v>
      </c>
      <c r="L68" s="58">
        <v>6</v>
      </c>
      <c r="M68" s="58">
        <v>6</v>
      </c>
      <c r="N68" s="58">
        <v>6</v>
      </c>
      <c r="O68" s="58">
        <v>6</v>
      </c>
      <c r="P68" s="58">
        <v>6</v>
      </c>
      <c r="Q68" s="58">
        <v>6</v>
      </c>
      <c r="R68" s="59">
        <v>6</v>
      </c>
    </row>
    <row r="69" spans="1:18" ht="16.5" thickBot="1" x14ac:dyDescent="0.3">
      <c r="A69" s="321"/>
      <c r="B69" s="323"/>
      <c r="C69" s="18" t="s">
        <v>68</v>
      </c>
      <c r="D69" s="83">
        <v>6</v>
      </c>
      <c r="E69" s="60">
        <v>6</v>
      </c>
      <c r="F69" s="60">
        <v>6</v>
      </c>
      <c r="G69" s="60">
        <v>6</v>
      </c>
      <c r="H69" s="60">
        <v>6</v>
      </c>
      <c r="I69" s="60">
        <v>6</v>
      </c>
      <c r="J69" s="60">
        <v>6</v>
      </c>
      <c r="L69" s="60">
        <v>8</v>
      </c>
      <c r="M69" s="60">
        <v>8</v>
      </c>
      <c r="N69" s="60">
        <v>8</v>
      </c>
      <c r="O69" s="60">
        <v>8</v>
      </c>
      <c r="P69" s="60">
        <v>8</v>
      </c>
      <c r="Q69" s="60">
        <v>8</v>
      </c>
      <c r="R69" s="61">
        <v>8</v>
      </c>
    </row>
    <row r="70" spans="1:18" ht="15.75" x14ac:dyDescent="0.25">
      <c r="A70" s="353" t="s">
        <v>34</v>
      </c>
      <c r="B70" s="354"/>
      <c r="C70" s="428"/>
      <c r="D70" s="97">
        <f t="shared" ref="D70:I70" si="10">SUM(D58:D69)</f>
        <v>100</v>
      </c>
      <c r="E70" s="97">
        <f t="shared" si="10"/>
        <v>100</v>
      </c>
      <c r="F70" s="97">
        <f t="shared" si="10"/>
        <v>100</v>
      </c>
      <c r="G70" s="97">
        <f t="shared" si="10"/>
        <v>100</v>
      </c>
      <c r="H70" s="97">
        <f t="shared" si="10"/>
        <v>100</v>
      </c>
      <c r="I70" s="97">
        <f t="shared" si="10"/>
        <v>100</v>
      </c>
      <c r="J70" s="97">
        <f t="shared" ref="J70" si="11">SUM(J58:J69)</f>
        <v>100</v>
      </c>
      <c r="L70" s="97">
        <f t="shared" ref="L70:R70" si="12">SUM(L58:L69)</f>
        <v>100</v>
      </c>
      <c r="M70" s="97">
        <f t="shared" si="12"/>
        <v>100</v>
      </c>
      <c r="N70" s="97">
        <f t="shared" si="12"/>
        <v>100</v>
      </c>
      <c r="O70" s="97">
        <f t="shared" si="12"/>
        <v>100</v>
      </c>
      <c r="P70" s="97">
        <f t="shared" si="12"/>
        <v>100</v>
      </c>
      <c r="Q70" s="97">
        <f t="shared" si="12"/>
        <v>100</v>
      </c>
      <c r="R70" s="97">
        <f t="shared" si="12"/>
        <v>100</v>
      </c>
    </row>
    <row r="71" spans="1:18" s="86" customFormat="1" ht="16.5" thickBot="1" x14ac:dyDescent="0.3">
      <c r="A71" s="355"/>
      <c r="B71" s="356"/>
      <c r="C71" s="429"/>
      <c r="D71" s="85">
        <f t="shared" ref="D71:I71" si="13">D70*0.16</f>
        <v>16</v>
      </c>
      <c r="E71" s="85">
        <f t="shared" si="13"/>
        <v>16</v>
      </c>
      <c r="F71" s="85">
        <f t="shared" si="13"/>
        <v>16</v>
      </c>
      <c r="G71" s="85">
        <f t="shared" si="13"/>
        <v>16</v>
      </c>
      <c r="H71" s="85">
        <f t="shared" si="13"/>
        <v>16</v>
      </c>
      <c r="I71" s="85">
        <f t="shared" si="13"/>
        <v>16</v>
      </c>
      <c r="J71" s="85">
        <f t="shared" ref="J71" si="14">J70*0.16</f>
        <v>16</v>
      </c>
      <c r="L71" s="85">
        <f t="shared" ref="L71:R71" si="15">L70*0.16</f>
        <v>16</v>
      </c>
      <c r="M71" s="85">
        <f t="shared" si="15"/>
        <v>16</v>
      </c>
      <c r="N71" s="85">
        <f t="shared" si="15"/>
        <v>16</v>
      </c>
      <c r="O71" s="85">
        <f t="shared" si="15"/>
        <v>16</v>
      </c>
      <c r="P71" s="85">
        <f t="shared" si="15"/>
        <v>16</v>
      </c>
      <c r="Q71" s="85">
        <f t="shared" si="15"/>
        <v>16</v>
      </c>
      <c r="R71" s="85">
        <f t="shared" si="15"/>
        <v>16</v>
      </c>
    </row>
    <row r="72" spans="1:18" s="86" customFormat="1" ht="16.5" thickBot="1" x14ac:dyDescent="0.3">
      <c r="A72" s="46"/>
      <c r="B72" s="46"/>
      <c r="C72" s="46"/>
      <c r="D72" s="87"/>
      <c r="E72" s="88"/>
      <c r="F72" s="88"/>
      <c r="G72" s="88"/>
      <c r="H72" s="88"/>
      <c r="I72" s="88"/>
      <c r="J72" s="88"/>
      <c r="L72" s="88"/>
      <c r="M72" s="88"/>
      <c r="N72" s="88"/>
      <c r="O72" s="88"/>
      <c r="P72" s="88"/>
      <c r="Q72" s="88"/>
      <c r="R72" s="88"/>
    </row>
    <row r="73" spans="1:18" s="86" customFormat="1" ht="16.5" thickBot="1" x14ac:dyDescent="0.3">
      <c r="A73" s="46"/>
      <c r="B73" s="46"/>
      <c r="C73" s="46"/>
      <c r="D73" s="209" t="s">
        <v>178</v>
      </c>
      <c r="E73" s="210" t="s">
        <v>194</v>
      </c>
      <c r="F73" s="210" t="s">
        <v>195</v>
      </c>
      <c r="G73" s="210" t="s">
        <v>196</v>
      </c>
      <c r="H73" s="210" t="s">
        <v>197</v>
      </c>
      <c r="I73" s="210" t="s">
        <v>198</v>
      </c>
      <c r="J73" s="211" t="s">
        <v>181</v>
      </c>
      <c r="L73" s="209" t="s">
        <v>178</v>
      </c>
      <c r="M73" s="210" t="s">
        <v>194</v>
      </c>
      <c r="N73" s="210" t="s">
        <v>195</v>
      </c>
      <c r="O73" s="210" t="s">
        <v>196</v>
      </c>
      <c r="P73" s="210" t="s">
        <v>197</v>
      </c>
      <c r="Q73" s="210" t="s">
        <v>198</v>
      </c>
      <c r="R73" s="211" t="s">
        <v>181</v>
      </c>
    </row>
    <row r="74" spans="1:18" ht="16.5" thickBot="1" x14ac:dyDescent="0.3">
      <c r="A74" s="430" t="s">
        <v>69</v>
      </c>
      <c r="B74" s="456" t="s">
        <v>70</v>
      </c>
      <c r="C74" s="204" t="s">
        <v>182</v>
      </c>
      <c r="D74" s="199" t="s">
        <v>3</v>
      </c>
      <c r="E74" s="79" t="s">
        <v>3</v>
      </c>
      <c r="F74" s="79" t="s">
        <v>3</v>
      </c>
      <c r="G74" s="79" t="s">
        <v>3</v>
      </c>
      <c r="H74" s="79" t="s">
        <v>3</v>
      </c>
      <c r="I74" s="79" t="s">
        <v>3</v>
      </c>
      <c r="J74" s="79" t="s">
        <v>3</v>
      </c>
      <c r="L74" s="79" t="s">
        <v>3</v>
      </c>
      <c r="M74" s="79" t="s">
        <v>3</v>
      </c>
      <c r="N74" s="79" t="s">
        <v>3</v>
      </c>
      <c r="O74" s="79" t="s">
        <v>3</v>
      </c>
      <c r="P74" s="79" t="s">
        <v>3</v>
      </c>
      <c r="Q74" s="79" t="s">
        <v>3</v>
      </c>
      <c r="R74" s="79" t="s">
        <v>3</v>
      </c>
    </row>
    <row r="75" spans="1:18" ht="16.5" thickBot="1" x14ac:dyDescent="0.3">
      <c r="A75" s="431"/>
      <c r="B75" s="457"/>
      <c r="C75" s="205" t="s">
        <v>229</v>
      </c>
      <c r="D75" s="202">
        <v>75</v>
      </c>
      <c r="E75" s="200">
        <v>75</v>
      </c>
      <c r="F75" s="200">
        <v>75</v>
      </c>
      <c r="G75" s="200">
        <v>75</v>
      </c>
      <c r="H75" s="200">
        <v>75</v>
      </c>
      <c r="I75" s="200">
        <v>75</v>
      </c>
      <c r="J75" s="200">
        <v>75</v>
      </c>
      <c r="K75" s="201"/>
      <c r="L75" s="200">
        <v>75</v>
      </c>
      <c r="M75" s="200">
        <v>75</v>
      </c>
      <c r="N75" s="200">
        <v>75</v>
      </c>
      <c r="O75" s="200">
        <v>75</v>
      </c>
      <c r="P75" s="200">
        <v>75</v>
      </c>
      <c r="Q75" s="200">
        <v>75</v>
      </c>
      <c r="R75" s="200">
        <v>75</v>
      </c>
    </row>
    <row r="76" spans="1:18" ht="15.75" x14ac:dyDescent="0.25">
      <c r="A76" s="346"/>
      <c r="B76" s="432" t="s">
        <v>71</v>
      </c>
      <c r="C76" s="204" t="s">
        <v>72</v>
      </c>
      <c r="D76" s="203">
        <v>7</v>
      </c>
      <c r="E76" s="58">
        <v>7</v>
      </c>
      <c r="F76" s="58">
        <v>7</v>
      </c>
      <c r="G76" s="58">
        <v>7</v>
      </c>
      <c r="H76" s="58">
        <v>7</v>
      </c>
      <c r="I76" s="58">
        <v>7</v>
      </c>
      <c r="J76" s="58">
        <v>7</v>
      </c>
      <c r="L76" s="58">
        <v>7</v>
      </c>
      <c r="M76" s="58">
        <v>7</v>
      </c>
      <c r="N76" s="58">
        <v>7</v>
      </c>
      <c r="O76" s="58">
        <v>7</v>
      </c>
      <c r="P76" s="58">
        <v>7</v>
      </c>
      <c r="Q76" s="58">
        <v>7</v>
      </c>
      <c r="R76" s="59">
        <v>7</v>
      </c>
    </row>
    <row r="77" spans="1:18" ht="31.5" x14ac:dyDescent="0.25">
      <c r="A77" s="346"/>
      <c r="B77" s="433"/>
      <c r="C77" s="208" t="s">
        <v>73</v>
      </c>
      <c r="D77" s="206">
        <v>18</v>
      </c>
      <c r="E77" s="31">
        <v>18</v>
      </c>
      <c r="F77" s="31">
        <v>18</v>
      </c>
      <c r="G77" s="31">
        <v>18</v>
      </c>
      <c r="H77" s="31">
        <v>18</v>
      </c>
      <c r="I77" s="31">
        <v>18</v>
      </c>
      <c r="J77" s="31">
        <v>18</v>
      </c>
      <c r="L77" s="31">
        <v>18</v>
      </c>
      <c r="M77" s="31">
        <v>18</v>
      </c>
      <c r="N77" s="31">
        <v>18</v>
      </c>
      <c r="O77" s="31">
        <v>18</v>
      </c>
      <c r="P77" s="31">
        <v>18</v>
      </c>
      <c r="Q77" s="31">
        <v>18</v>
      </c>
      <c r="R77" s="64">
        <v>18</v>
      </c>
    </row>
    <row r="78" spans="1:18" ht="32.25" thickBot="1" x14ac:dyDescent="0.3">
      <c r="A78" s="347"/>
      <c r="B78" s="434"/>
      <c r="C78" s="205" t="s">
        <v>74</v>
      </c>
      <c r="D78" s="207">
        <v>10</v>
      </c>
      <c r="E78" s="60">
        <v>10</v>
      </c>
      <c r="F78" s="60">
        <v>10</v>
      </c>
      <c r="G78" s="60">
        <v>10</v>
      </c>
      <c r="H78" s="60">
        <v>10</v>
      </c>
      <c r="I78" s="60">
        <v>10</v>
      </c>
      <c r="J78" s="60">
        <v>10</v>
      </c>
      <c r="L78" s="60">
        <v>10</v>
      </c>
      <c r="M78" s="60">
        <v>10</v>
      </c>
      <c r="N78" s="60">
        <v>10</v>
      </c>
      <c r="O78" s="60">
        <v>10</v>
      </c>
      <c r="P78" s="60">
        <v>10</v>
      </c>
      <c r="Q78" s="60">
        <v>10</v>
      </c>
      <c r="R78" s="61">
        <v>10</v>
      </c>
    </row>
    <row r="79" spans="1:18" ht="15.75" x14ac:dyDescent="0.25">
      <c r="A79" s="435" t="s">
        <v>34</v>
      </c>
      <c r="B79" s="436"/>
      <c r="C79" s="437"/>
      <c r="D79" s="84">
        <f t="shared" ref="D79:I79" si="16">SUM(D74:D77)</f>
        <v>100</v>
      </c>
      <c r="E79" s="84">
        <f t="shared" si="16"/>
        <v>100</v>
      </c>
      <c r="F79" s="84">
        <f t="shared" si="16"/>
        <v>100</v>
      </c>
      <c r="G79" s="84">
        <f t="shared" si="16"/>
        <v>100</v>
      </c>
      <c r="H79" s="84">
        <f t="shared" si="16"/>
        <v>100</v>
      </c>
      <c r="I79" s="84">
        <f t="shared" si="16"/>
        <v>100</v>
      </c>
      <c r="J79" s="84">
        <f t="shared" ref="J79" si="17">SUM(J74:J77)</f>
        <v>100</v>
      </c>
      <c r="L79" s="84">
        <f t="shared" ref="L79:R79" si="18">SUM(L74:L77)</f>
        <v>100</v>
      </c>
      <c r="M79" s="84">
        <f t="shared" si="18"/>
        <v>100</v>
      </c>
      <c r="N79" s="84">
        <f t="shared" si="18"/>
        <v>100</v>
      </c>
      <c r="O79" s="84">
        <f t="shared" si="18"/>
        <v>100</v>
      </c>
      <c r="P79" s="84">
        <f t="shared" si="18"/>
        <v>100</v>
      </c>
      <c r="Q79" s="84">
        <f t="shared" si="18"/>
        <v>100</v>
      </c>
      <c r="R79" s="84">
        <f t="shared" si="18"/>
        <v>100</v>
      </c>
    </row>
    <row r="80" spans="1:18" s="86" customFormat="1" ht="16.5" thickBot="1" x14ac:dyDescent="0.3">
      <c r="A80" s="438"/>
      <c r="B80" s="439"/>
      <c r="C80" s="440"/>
      <c r="D80" s="91">
        <f>D79*0.25</f>
        <v>25</v>
      </c>
      <c r="E80" s="91">
        <f>E79*0.3</f>
        <v>30</v>
      </c>
      <c r="F80" s="91">
        <f>F79*0.3</f>
        <v>30</v>
      </c>
      <c r="G80" s="91">
        <f>G79*0.3</f>
        <v>30</v>
      </c>
      <c r="H80" s="91">
        <f>H79*0.3</f>
        <v>30</v>
      </c>
      <c r="I80" s="91">
        <f>I79*0.3</f>
        <v>30</v>
      </c>
      <c r="J80" s="91">
        <f t="shared" ref="J80" si="19">J79*0.3</f>
        <v>30</v>
      </c>
      <c r="L80" s="91">
        <f>L79*0.26</f>
        <v>26</v>
      </c>
      <c r="M80" s="91">
        <f t="shared" ref="M80:R80" si="20">M79*0.3</f>
        <v>30</v>
      </c>
      <c r="N80" s="91">
        <f t="shared" si="20"/>
        <v>30</v>
      </c>
      <c r="O80" s="91">
        <f t="shared" si="20"/>
        <v>30</v>
      </c>
      <c r="P80" s="91">
        <f t="shared" si="20"/>
        <v>30</v>
      </c>
      <c r="Q80" s="91">
        <f t="shared" si="20"/>
        <v>30</v>
      </c>
      <c r="R80" s="91">
        <f t="shared" si="20"/>
        <v>30</v>
      </c>
    </row>
    <row r="81" spans="1:18" s="86" customFormat="1" ht="16.5" thickBot="1" x14ac:dyDescent="0.3">
      <c r="A81" s="46"/>
      <c r="B81" s="46"/>
      <c r="C81" s="46"/>
      <c r="D81" s="92"/>
      <c r="E81" s="88"/>
      <c r="F81" s="88"/>
      <c r="G81" s="88"/>
      <c r="H81" s="88"/>
      <c r="I81" s="88"/>
      <c r="J81" s="88"/>
      <c r="L81" s="88"/>
      <c r="M81" s="88"/>
      <c r="N81" s="88"/>
      <c r="O81" s="88"/>
      <c r="P81" s="88"/>
      <c r="Q81" s="88"/>
      <c r="R81" s="88"/>
    </row>
    <row r="82" spans="1:18" s="86" customFormat="1" ht="16.5" thickBot="1" x14ac:dyDescent="0.3">
      <c r="A82" s="46"/>
      <c r="B82" s="46"/>
      <c r="C82" s="46"/>
      <c r="D82" s="209" t="s">
        <v>178</v>
      </c>
      <c r="E82" s="210" t="s">
        <v>194</v>
      </c>
      <c r="F82" s="210" t="s">
        <v>195</v>
      </c>
      <c r="G82" s="210" t="s">
        <v>196</v>
      </c>
      <c r="H82" s="210" t="s">
        <v>197</v>
      </c>
      <c r="I82" s="210" t="s">
        <v>198</v>
      </c>
      <c r="J82" s="211" t="s">
        <v>181</v>
      </c>
      <c r="L82" s="209" t="s">
        <v>178</v>
      </c>
      <c r="M82" s="210" t="s">
        <v>194</v>
      </c>
      <c r="N82" s="210" t="s">
        <v>195</v>
      </c>
      <c r="O82" s="210" t="s">
        <v>196</v>
      </c>
      <c r="P82" s="210" t="s">
        <v>197</v>
      </c>
      <c r="Q82" s="210" t="s">
        <v>198</v>
      </c>
      <c r="R82" s="211" t="s">
        <v>181</v>
      </c>
    </row>
    <row r="83" spans="1:18" ht="31.5" x14ac:dyDescent="0.25">
      <c r="A83" s="301" t="s">
        <v>75</v>
      </c>
      <c r="B83" s="304" t="s">
        <v>76</v>
      </c>
      <c r="C83" s="26" t="s">
        <v>77</v>
      </c>
      <c r="D83" s="70">
        <v>20</v>
      </c>
      <c r="E83" s="98">
        <v>15</v>
      </c>
      <c r="F83" s="99">
        <v>15</v>
      </c>
      <c r="G83" s="99">
        <v>15</v>
      </c>
      <c r="H83" s="99">
        <v>15</v>
      </c>
      <c r="I83" s="99">
        <v>15</v>
      </c>
      <c r="J83" s="99">
        <v>15</v>
      </c>
      <c r="L83" s="70">
        <v>20</v>
      </c>
      <c r="M83" s="98">
        <v>15</v>
      </c>
      <c r="N83" s="99">
        <v>15</v>
      </c>
      <c r="O83" s="99">
        <v>15</v>
      </c>
      <c r="P83" s="99">
        <v>15</v>
      </c>
      <c r="Q83" s="99">
        <v>15</v>
      </c>
      <c r="R83" s="99">
        <v>15</v>
      </c>
    </row>
    <row r="84" spans="1:18" ht="15.75" x14ac:dyDescent="0.25">
      <c r="A84" s="302"/>
      <c r="B84" s="305"/>
      <c r="C84" s="27" t="s">
        <v>78</v>
      </c>
      <c r="D84" s="80">
        <v>10</v>
      </c>
      <c r="E84" s="100">
        <v>10</v>
      </c>
      <c r="F84" s="101">
        <v>10</v>
      </c>
      <c r="G84" s="101">
        <v>10</v>
      </c>
      <c r="H84" s="101">
        <v>10</v>
      </c>
      <c r="I84" s="101">
        <v>10</v>
      </c>
      <c r="J84" s="101">
        <v>10</v>
      </c>
      <c r="L84" s="80">
        <v>10</v>
      </c>
      <c r="M84" s="100">
        <v>10</v>
      </c>
      <c r="N84" s="101">
        <v>10</v>
      </c>
      <c r="O84" s="101">
        <v>10</v>
      </c>
      <c r="P84" s="101">
        <v>10</v>
      </c>
      <c r="Q84" s="101">
        <v>10</v>
      </c>
      <c r="R84" s="101">
        <v>10</v>
      </c>
    </row>
    <row r="85" spans="1:18" ht="15.75" x14ac:dyDescent="0.25">
      <c r="A85" s="302"/>
      <c r="B85" s="305"/>
      <c r="C85" s="27" t="s">
        <v>79</v>
      </c>
      <c r="D85" s="102" t="s">
        <v>3</v>
      </c>
      <c r="E85" s="103" t="s">
        <v>3</v>
      </c>
      <c r="F85" s="103" t="s">
        <v>3</v>
      </c>
      <c r="G85" s="103" t="s">
        <v>3</v>
      </c>
      <c r="H85" s="103" t="s">
        <v>3</v>
      </c>
      <c r="I85" s="103" t="s">
        <v>3</v>
      </c>
      <c r="J85" s="103" t="s">
        <v>3</v>
      </c>
      <c r="L85" s="102" t="s">
        <v>3</v>
      </c>
      <c r="M85" s="103" t="s">
        <v>3</v>
      </c>
      <c r="N85" s="103" t="s">
        <v>3</v>
      </c>
      <c r="O85" s="103" t="s">
        <v>3</v>
      </c>
      <c r="P85" s="103" t="s">
        <v>3</v>
      </c>
      <c r="Q85" s="103" t="s">
        <v>3</v>
      </c>
      <c r="R85" s="103" t="s">
        <v>3</v>
      </c>
    </row>
    <row r="86" spans="1:18" ht="15.75" x14ac:dyDescent="0.25">
      <c r="A86" s="302"/>
      <c r="B86" s="305"/>
      <c r="C86" s="27" t="s">
        <v>80</v>
      </c>
      <c r="D86" s="80">
        <v>5</v>
      </c>
      <c r="E86" s="104">
        <v>5</v>
      </c>
      <c r="F86" s="104">
        <v>5</v>
      </c>
      <c r="G86" s="104">
        <v>5</v>
      </c>
      <c r="H86" s="104">
        <v>5</v>
      </c>
      <c r="I86" s="104">
        <v>5</v>
      </c>
      <c r="J86" s="104">
        <v>5</v>
      </c>
      <c r="L86" s="80">
        <v>5</v>
      </c>
      <c r="M86" s="104">
        <v>5</v>
      </c>
      <c r="N86" s="104">
        <v>5</v>
      </c>
      <c r="O86" s="104">
        <v>5</v>
      </c>
      <c r="P86" s="104">
        <v>5</v>
      </c>
      <c r="Q86" s="104">
        <v>5</v>
      </c>
      <c r="R86" s="104">
        <v>5</v>
      </c>
    </row>
    <row r="87" spans="1:18" ht="15.75" x14ac:dyDescent="0.25">
      <c r="A87" s="302"/>
      <c r="B87" s="305"/>
      <c r="C87" s="27" t="s">
        <v>81</v>
      </c>
      <c r="D87" s="80">
        <v>7</v>
      </c>
      <c r="E87" s="104">
        <v>7</v>
      </c>
      <c r="F87" s="104">
        <v>7</v>
      </c>
      <c r="G87" s="104">
        <v>7</v>
      </c>
      <c r="H87" s="104">
        <v>7</v>
      </c>
      <c r="I87" s="104">
        <v>7</v>
      </c>
      <c r="J87" s="104">
        <v>7</v>
      </c>
      <c r="L87" s="80">
        <v>7</v>
      </c>
      <c r="M87" s="104">
        <v>7</v>
      </c>
      <c r="N87" s="104">
        <v>7</v>
      </c>
      <c r="O87" s="104">
        <v>7</v>
      </c>
      <c r="P87" s="104">
        <v>7</v>
      </c>
      <c r="Q87" s="104">
        <v>7</v>
      </c>
      <c r="R87" s="104">
        <v>7</v>
      </c>
    </row>
    <row r="88" spans="1:18" ht="16.5" thickBot="1" x14ac:dyDescent="0.3">
      <c r="A88" s="302"/>
      <c r="B88" s="306"/>
      <c r="C88" s="28" t="s">
        <v>82</v>
      </c>
      <c r="D88" s="72">
        <v>8</v>
      </c>
      <c r="E88" s="105">
        <v>13</v>
      </c>
      <c r="F88" s="106">
        <v>13</v>
      </c>
      <c r="G88" s="106">
        <v>13</v>
      </c>
      <c r="H88" s="106">
        <v>13</v>
      </c>
      <c r="I88" s="106">
        <v>13</v>
      </c>
      <c r="J88" s="106">
        <v>13</v>
      </c>
      <c r="L88" s="72">
        <v>8</v>
      </c>
      <c r="M88" s="105">
        <v>13</v>
      </c>
      <c r="N88" s="106">
        <v>13</v>
      </c>
      <c r="O88" s="106">
        <v>13</v>
      </c>
      <c r="P88" s="106">
        <v>13</v>
      </c>
      <c r="Q88" s="106">
        <v>13</v>
      </c>
      <c r="R88" s="106">
        <v>13</v>
      </c>
    </row>
    <row r="89" spans="1:18" ht="15.75" x14ac:dyDescent="0.25">
      <c r="A89" s="302"/>
      <c r="B89" s="304" t="s">
        <v>83</v>
      </c>
      <c r="C89" s="26" t="s">
        <v>84</v>
      </c>
      <c r="D89" s="79" t="s">
        <v>3</v>
      </c>
      <c r="E89" s="66" t="s">
        <v>3</v>
      </c>
      <c r="F89" s="66" t="s">
        <v>3</v>
      </c>
      <c r="G89" s="66" t="s">
        <v>3</v>
      </c>
      <c r="H89" s="66" t="s">
        <v>3</v>
      </c>
      <c r="I89" s="66" t="s">
        <v>3</v>
      </c>
      <c r="J89" s="66" t="s">
        <v>3</v>
      </c>
      <c r="L89" s="66" t="s">
        <v>3</v>
      </c>
      <c r="M89" s="66" t="s">
        <v>3</v>
      </c>
      <c r="N89" s="66" t="s">
        <v>3</v>
      </c>
      <c r="O89" s="66" t="s">
        <v>3</v>
      </c>
      <c r="P89" s="66" t="s">
        <v>3</v>
      </c>
      <c r="Q89" s="66" t="s">
        <v>3</v>
      </c>
      <c r="R89" s="67" t="s">
        <v>3</v>
      </c>
    </row>
    <row r="90" spans="1:18" ht="15.75" x14ac:dyDescent="0.25">
      <c r="A90" s="302"/>
      <c r="B90" s="305"/>
      <c r="C90" s="27" t="s">
        <v>85</v>
      </c>
      <c r="D90" s="80">
        <v>20</v>
      </c>
      <c r="E90" s="31">
        <v>20</v>
      </c>
      <c r="F90" s="31">
        <v>20</v>
      </c>
      <c r="G90" s="31">
        <v>20</v>
      </c>
      <c r="H90" s="31">
        <v>20</v>
      </c>
      <c r="I90" s="31">
        <v>20</v>
      </c>
      <c r="J90" s="31">
        <v>20</v>
      </c>
      <c r="L90" s="31">
        <v>20</v>
      </c>
      <c r="M90" s="31">
        <v>20</v>
      </c>
      <c r="N90" s="31">
        <v>20</v>
      </c>
      <c r="O90" s="31">
        <v>20</v>
      </c>
      <c r="P90" s="31">
        <v>20</v>
      </c>
      <c r="Q90" s="31">
        <v>20</v>
      </c>
      <c r="R90" s="64">
        <v>20</v>
      </c>
    </row>
    <row r="91" spans="1:18" ht="31.5" x14ac:dyDescent="0.25">
      <c r="A91" s="302"/>
      <c r="B91" s="305"/>
      <c r="C91" s="27" t="s">
        <v>86</v>
      </c>
      <c r="D91" s="80">
        <v>10</v>
      </c>
      <c r="E91" s="31">
        <v>10</v>
      </c>
      <c r="F91" s="31">
        <v>10</v>
      </c>
      <c r="G91" s="31">
        <v>10</v>
      </c>
      <c r="H91" s="31">
        <v>10</v>
      </c>
      <c r="I91" s="31">
        <v>10</v>
      </c>
      <c r="J91" s="31">
        <v>10</v>
      </c>
      <c r="L91" s="31">
        <v>10</v>
      </c>
      <c r="M91" s="31">
        <v>10</v>
      </c>
      <c r="N91" s="31">
        <v>10</v>
      </c>
      <c r="O91" s="31">
        <v>10</v>
      </c>
      <c r="P91" s="31">
        <v>10</v>
      </c>
      <c r="Q91" s="31">
        <v>10</v>
      </c>
      <c r="R91" s="64">
        <v>10</v>
      </c>
    </row>
    <row r="92" spans="1:18" ht="31.5" x14ac:dyDescent="0.25">
      <c r="A92" s="302"/>
      <c r="B92" s="305"/>
      <c r="C92" s="27" t="s">
        <v>87</v>
      </c>
      <c r="D92" s="80">
        <v>15</v>
      </c>
      <c r="E92" s="31">
        <v>15</v>
      </c>
      <c r="F92" s="31">
        <v>15</v>
      </c>
      <c r="G92" s="31">
        <v>15</v>
      </c>
      <c r="H92" s="31">
        <v>15</v>
      </c>
      <c r="I92" s="31">
        <v>15</v>
      </c>
      <c r="J92" s="31">
        <v>15</v>
      </c>
      <c r="L92" s="31">
        <v>15</v>
      </c>
      <c r="M92" s="31">
        <v>15</v>
      </c>
      <c r="N92" s="31">
        <v>15</v>
      </c>
      <c r="O92" s="31">
        <v>15</v>
      </c>
      <c r="P92" s="31">
        <v>15</v>
      </c>
      <c r="Q92" s="31">
        <v>15</v>
      </c>
      <c r="R92" s="64">
        <v>15</v>
      </c>
    </row>
    <row r="93" spans="1:18" ht="16.5" thickBot="1" x14ac:dyDescent="0.3">
      <c r="A93" s="303"/>
      <c r="B93" s="306"/>
      <c r="C93" s="28" t="s">
        <v>88</v>
      </c>
      <c r="D93" s="83">
        <v>5</v>
      </c>
      <c r="E93" s="60">
        <v>5</v>
      </c>
      <c r="F93" s="60">
        <v>5</v>
      </c>
      <c r="G93" s="60">
        <v>5</v>
      </c>
      <c r="H93" s="60">
        <v>5</v>
      </c>
      <c r="I93" s="60">
        <v>5</v>
      </c>
      <c r="J93" s="60">
        <v>5</v>
      </c>
      <c r="L93" s="60">
        <v>5</v>
      </c>
      <c r="M93" s="60">
        <v>5</v>
      </c>
      <c r="N93" s="60">
        <v>5</v>
      </c>
      <c r="O93" s="60">
        <v>5</v>
      </c>
      <c r="P93" s="60">
        <v>5</v>
      </c>
      <c r="Q93" s="60">
        <v>5</v>
      </c>
      <c r="R93" s="61">
        <v>5</v>
      </c>
    </row>
    <row r="94" spans="1:18" ht="15.75" x14ac:dyDescent="0.25">
      <c r="A94" s="386" t="s">
        <v>34</v>
      </c>
      <c r="B94" s="387"/>
      <c r="C94" s="423"/>
      <c r="D94" s="84">
        <f t="shared" ref="D94:I94" si="21">SUM(D83:D93)</f>
        <v>100</v>
      </c>
      <c r="E94" s="84">
        <f t="shared" si="21"/>
        <v>100</v>
      </c>
      <c r="F94" s="84">
        <f t="shared" si="21"/>
        <v>100</v>
      </c>
      <c r="G94" s="84">
        <f t="shared" si="21"/>
        <v>100</v>
      </c>
      <c r="H94" s="84">
        <f t="shared" si="21"/>
        <v>100</v>
      </c>
      <c r="I94" s="84">
        <f t="shared" si="21"/>
        <v>100</v>
      </c>
      <c r="J94" s="84">
        <f t="shared" ref="J94" si="22">SUM(J83:J93)</f>
        <v>100</v>
      </c>
      <c r="L94" s="84">
        <f t="shared" ref="L94:R94" si="23">SUM(L83:L93)</f>
        <v>100</v>
      </c>
      <c r="M94" s="84">
        <f t="shared" si="23"/>
        <v>100</v>
      </c>
      <c r="N94" s="84">
        <f t="shared" si="23"/>
        <v>100</v>
      </c>
      <c r="O94" s="84">
        <f t="shared" si="23"/>
        <v>100</v>
      </c>
      <c r="P94" s="84">
        <f t="shared" si="23"/>
        <v>100</v>
      </c>
      <c r="Q94" s="84">
        <f t="shared" si="23"/>
        <v>100</v>
      </c>
      <c r="R94" s="84">
        <f t="shared" si="23"/>
        <v>100</v>
      </c>
    </row>
    <row r="95" spans="1:18" s="86" customFormat="1" ht="16.5" thickBot="1" x14ac:dyDescent="0.3">
      <c r="A95" s="424"/>
      <c r="B95" s="425"/>
      <c r="C95" s="426"/>
      <c r="D95" s="91">
        <f>D94*0.24</f>
        <v>24</v>
      </c>
      <c r="E95" s="91">
        <f>E94*0.2</f>
        <v>20</v>
      </c>
      <c r="F95" s="91">
        <f>F94*0.2</f>
        <v>20</v>
      </c>
      <c r="G95" s="91">
        <f>G94*0.21</f>
        <v>21</v>
      </c>
      <c r="H95" s="91">
        <f>H94*0.21</f>
        <v>21</v>
      </c>
      <c r="I95" s="91">
        <f>I94*0.2</f>
        <v>20</v>
      </c>
      <c r="J95" s="91">
        <f>J94*0.2</f>
        <v>20</v>
      </c>
      <c r="L95" s="91">
        <f>L94*0.28</f>
        <v>28.000000000000004</v>
      </c>
      <c r="M95" s="91">
        <f>M94*0.24</f>
        <v>24</v>
      </c>
      <c r="N95" s="91">
        <f>N94*0.24</f>
        <v>24</v>
      </c>
      <c r="O95" s="91">
        <f>O94*0.24</f>
        <v>24</v>
      </c>
      <c r="P95" s="91">
        <f>P94*0.24</f>
        <v>24</v>
      </c>
      <c r="Q95" s="91">
        <f>Q94*0.24</f>
        <v>24</v>
      </c>
      <c r="R95" s="91">
        <f t="shared" ref="R95" si="24">R94*0.24</f>
        <v>24</v>
      </c>
    </row>
    <row r="96" spans="1:18" s="86" customFormat="1" ht="16.5" thickBot="1" x14ac:dyDescent="0.3">
      <c r="A96" s="46"/>
      <c r="B96" s="89"/>
      <c r="C96" s="46"/>
      <c r="D96" s="92"/>
      <c r="E96" s="88"/>
      <c r="F96" s="88"/>
      <c r="G96" s="88"/>
      <c r="H96" s="88"/>
      <c r="I96" s="88"/>
      <c r="J96" s="88"/>
      <c r="L96" s="88"/>
      <c r="M96" s="88"/>
      <c r="N96" s="88"/>
      <c r="O96" s="88"/>
      <c r="P96" s="88"/>
      <c r="Q96" s="88"/>
      <c r="R96" s="88"/>
    </row>
    <row r="97" spans="1:18" s="86" customFormat="1" ht="16.5" thickBot="1" x14ac:dyDescent="0.3">
      <c r="A97" s="46"/>
      <c r="B97" s="46"/>
      <c r="C97" s="46"/>
      <c r="D97" s="209" t="s">
        <v>178</v>
      </c>
      <c r="E97" s="210" t="s">
        <v>194</v>
      </c>
      <c r="F97" s="210" t="s">
        <v>195</v>
      </c>
      <c r="G97" s="210" t="s">
        <v>196</v>
      </c>
      <c r="H97" s="210" t="s">
        <v>197</v>
      </c>
      <c r="I97" s="210" t="s">
        <v>198</v>
      </c>
      <c r="J97" s="211" t="s">
        <v>181</v>
      </c>
      <c r="L97" s="209" t="s">
        <v>178</v>
      </c>
      <c r="M97" s="210" t="s">
        <v>194</v>
      </c>
      <c r="N97" s="210" t="s">
        <v>195</v>
      </c>
      <c r="O97" s="210" t="s">
        <v>196</v>
      </c>
      <c r="P97" s="210" t="s">
        <v>197</v>
      </c>
      <c r="Q97" s="210" t="s">
        <v>198</v>
      </c>
      <c r="R97" s="211" t="s">
        <v>181</v>
      </c>
    </row>
    <row r="98" spans="1:18" ht="31.5" x14ac:dyDescent="0.25">
      <c r="A98" s="296" t="s">
        <v>89</v>
      </c>
      <c r="B98" s="404" t="s">
        <v>90</v>
      </c>
      <c r="C98" s="68" t="s">
        <v>91</v>
      </c>
      <c r="D98" s="70">
        <v>25</v>
      </c>
      <c r="E98" s="58">
        <v>25</v>
      </c>
      <c r="F98" s="58">
        <v>25</v>
      </c>
      <c r="G98" s="58">
        <v>25</v>
      </c>
      <c r="H98" s="58">
        <v>25</v>
      </c>
      <c r="I98" s="58">
        <v>25</v>
      </c>
      <c r="J98" s="58">
        <v>25</v>
      </c>
      <c r="L98" s="58">
        <v>25</v>
      </c>
      <c r="M98" s="58">
        <v>25</v>
      </c>
      <c r="N98" s="58">
        <v>25</v>
      </c>
      <c r="O98" s="58">
        <v>25</v>
      </c>
      <c r="P98" s="58">
        <v>25</v>
      </c>
      <c r="Q98" s="58">
        <v>25</v>
      </c>
      <c r="R98" s="59">
        <v>25</v>
      </c>
    </row>
    <row r="99" spans="1:18" ht="32.25" thickBot="1" x14ac:dyDescent="0.3">
      <c r="A99" s="297"/>
      <c r="B99" s="405"/>
      <c r="C99" s="69" t="s">
        <v>92</v>
      </c>
      <c r="D99" s="72">
        <v>25</v>
      </c>
      <c r="E99" s="62">
        <v>25</v>
      </c>
      <c r="F99" s="62">
        <v>25</v>
      </c>
      <c r="G99" s="62">
        <v>25</v>
      </c>
      <c r="H99" s="62">
        <v>25</v>
      </c>
      <c r="I99" s="62">
        <v>25</v>
      </c>
      <c r="J99" s="62">
        <v>25</v>
      </c>
      <c r="L99" s="62">
        <v>25</v>
      </c>
      <c r="M99" s="62">
        <v>25</v>
      </c>
      <c r="N99" s="62">
        <v>25</v>
      </c>
      <c r="O99" s="62">
        <v>25</v>
      </c>
      <c r="P99" s="62">
        <v>25</v>
      </c>
      <c r="Q99" s="62">
        <v>25</v>
      </c>
      <c r="R99" s="63">
        <v>25</v>
      </c>
    </row>
    <row r="100" spans="1:18" ht="32.25" thickBot="1" x14ac:dyDescent="0.3">
      <c r="A100" s="427"/>
      <c r="B100" s="30" t="s">
        <v>93</v>
      </c>
      <c r="C100" s="71" t="s">
        <v>94</v>
      </c>
      <c r="D100" s="52">
        <v>50</v>
      </c>
      <c r="E100" s="53">
        <v>50</v>
      </c>
      <c r="F100" s="53">
        <v>50</v>
      </c>
      <c r="G100" s="53">
        <v>50</v>
      </c>
      <c r="H100" s="53">
        <v>50</v>
      </c>
      <c r="I100" s="53">
        <v>50</v>
      </c>
      <c r="J100" s="53">
        <v>50</v>
      </c>
      <c r="L100" s="53">
        <v>50</v>
      </c>
      <c r="M100" s="53">
        <v>50</v>
      </c>
      <c r="N100" s="53">
        <v>50</v>
      </c>
      <c r="O100" s="53">
        <v>50</v>
      </c>
      <c r="P100" s="53">
        <v>50</v>
      </c>
      <c r="Q100" s="53">
        <v>50</v>
      </c>
      <c r="R100" s="54">
        <v>50</v>
      </c>
    </row>
    <row r="101" spans="1:18" ht="15.75" x14ac:dyDescent="0.25">
      <c r="A101" s="380" t="s">
        <v>34</v>
      </c>
      <c r="B101" s="381"/>
      <c r="C101" s="441"/>
      <c r="D101" s="84">
        <f t="shared" ref="D101:I101" si="25">SUM(D98:D100)</f>
        <v>100</v>
      </c>
      <c r="E101" s="84">
        <f t="shared" si="25"/>
        <v>100</v>
      </c>
      <c r="F101" s="84">
        <f t="shared" si="25"/>
        <v>100</v>
      </c>
      <c r="G101" s="84">
        <f t="shared" si="25"/>
        <v>100</v>
      </c>
      <c r="H101" s="84">
        <f t="shared" si="25"/>
        <v>100</v>
      </c>
      <c r="I101" s="84">
        <f t="shared" si="25"/>
        <v>100</v>
      </c>
      <c r="J101" s="84">
        <f t="shared" ref="J101" si="26">SUM(J98:J100)</f>
        <v>100</v>
      </c>
      <c r="L101" s="84">
        <f t="shared" ref="L101:R101" si="27">SUM(L98:L100)</f>
        <v>100</v>
      </c>
      <c r="M101" s="84">
        <f t="shared" si="27"/>
        <v>100</v>
      </c>
      <c r="N101" s="84">
        <f t="shared" si="27"/>
        <v>100</v>
      </c>
      <c r="O101" s="84">
        <f t="shared" si="27"/>
        <v>100</v>
      </c>
      <c r="P101" s="84">
        <f t="shared" si="27"/>
        <v>100</v>
      </c>
      <c r="Q101" s="84">
        <f t="shared" si="27"/>
        <v>100</v>
      </c>
      <c r="R101" s="84">
        <f t="shared" si="27"/>
        <v>100</v>
      </c>
    </row>
    <row r="102" spans="1:18" ht="16.5" thickBot="1" x14ac:dyDescent="0.3">
      <c r="A102" s="382"/>
      <c r="B102" s="383"/>
      <c r="C102" s="442"/>
      <c r="D102" s="91">
        <f t="shared" ref="D102:I102" si="28">D101*0.1</f>
        <v>10</v>
      </c>
      <c r="E102" s="91">
        <f t="shared" si="28"/>
        <v>10</v>
      </c>
      <c r="F102" s="91">
        <f t="shared" si="28"/>
        <v>10</v>
      </c>
      <c r="G102" s="91">
        <f t="shared" si="28"/>
        <v>10</v>
      </c>
      <c r="H102" s="91">
        <f t="shared" si="28"/>
        <v>10</v>
      </c>
      <c r="I102" s="91">
        <f t="shared" si="28"/>
        <v>10</v>
      </c>
      <c r="J102" s="91">
        <f t="shared" ref="J102" si="29">J101*0.1</f>
        <v>10</v>
      </c>
      <c r="L102" s="91">
        <f t="shared" ref="L102:R102" si="30">L101*0.1</f>
        <v>10</v>
      </c>
      <c r="M102" s="91">
        <f t="shared" si="30"/>
        <v>10</v>
      </c>
      <c r="N102" s="91">
        <f t="shared" si="30"/>
        <v>10</v>
      </c>
      <c r="O102" s="91">
        <f t="shared" si="30"/>
        <v>10</v>
      </c>
      <c r="P102" s="91">
        <f t="shared" si="30"/>
        <v>10</v>
      </c>
      <c r="Q102" s="91">
        <f t="shared" si="30"/>
        <v>10</v>
      </c>
      <c r="R102" s="91">
        <f t="shared" si="30"/>
        <v>10</v>
      </c>
    </row>
    <row r="104" spans="1:18" x14ac:dyDescent="0.25">
      <c r="D104" s="104">
        <f t="shared" ref="D104:J104" si="31">D35+D55+D71+D80+D95</f>
        <v>100</v>
      </c>
      <c r="E104" s="104">
        <f t="shared" si="31"/>
        <v>100</v>
      </c>
      <c r="F104" s="104">
        <f t="shared" si="31"/>
        <v>100</v>
      </c>
      <c r="G104" s="104">
        <f t="shared" si="31"/>
        <v>100</v>
      </c>
      <c r="H104" s="104">
        <f t="shared" si="31"/>
        <v>100</v>
      </c>
      <c r="I104" s="104">
        <f t="shared" si="31"/>
        <v>100</v>
      </c>
      <c r="J104" s="104">
        <f t="shared" si="31"/>
        <v>100</v>
      </c>
      <c r="L104" s="104">
        <f t="shared" ref="L104:R104" si="32">L35+L55+L71+L80+L95</f>
        <v>100</v>
      </c>
      <c r="M104" s="104">
        <f t="shared" si="32"/>
        <v>100</v>
      </c>
      <c r="N104" s="104">
        <f t="shared" si="32"/>
        <v>100</v>
      </c>
      <c r="O104" s="104">
        <f t="shared" si="32"/>
        <v>100</v>
      </c>
      <c r="P104" s="104">
        <f t="shared" si="32"/>
        <v>100</v>
      </c>
      <c r="Q104" s="104">
        <f t="shared" si="32"/>
        <v>100</v>
      </c>
      <c r="R104" s="104">
        <f t="shared" si="32"/>
        <v>100</v>
      </c>
    </row>
    <row r="108" spans="1:18" x14ac:dyDescent="0.25">
      <c r="C108" s="128" t="s">
        <v>193</v>
      </c>
      <c r="D108" s="127" t="s">
        <v>178</v>
      </c>
      <c r="E108" s="127" t="s">
        <v>194</v>
      </c>
      <c r="F108" s="127" t="s">
        <v>195</v>
      </c>
      <c r="G108" s="127" t="s">
        <v>196</v>
      </c>
      <c r="H108" s="127" t="s">
        <v>197</v>
      </c>
      <c r="I108" s="127" t="s">
        <v>198</v>
      </c>
      <c r="J108" s="127" t="s">
        <v>181</v>
      </c>
      <c r="L108" s="127" t="s">
        <v>178</v>
      </c>
      <c r="M108" s="127" t="s">
        <v>194</v>
      </c>
      <c r="N108" s="127" t="s">
        <v>195</v>
      </c>
      <c r="O108" s="127" t="s">
        <v>196</v>
      </c>
      <c r="P108" s="127" t="s">
        <v>197</v>
      </c>
      <c r="Q108" s="127" t="s">
        <v>198</v>
      </c>
      <c r="R108" s="127" t="s">
        <v>181</v>
      </c>
    </row>
    <row r="109" spans="1:18" x14ac:dyDescent="0.25">
      <c r="C109" s="128" t="s">
        <v>0</v>
      </c>
      <c r="D109" s="101">
        <v>15</v>
      </c>
      <c r="E109" s="101">
        <v>14.000000000000002</v>
      </c>
      <c r="F109" s="101">
        <v>14.000000000000002</v>
      </c>
      <c r="G109" s="101">
        <v>13</v>
      </c>
      <c r="H109" s="101">
        <v>13</v>
      </c>
      <c r="I109" s="101">
        <v>14.000000000000002</v>
      </c>
      <c r="J109" s="101">
        <v>14.000000000000002</v>
      </c>
      <c r="L109" s="101">
        <v>10</v>
      </c>
      <c r="M109" s="101">
        <v>10</v>
      </c>
      <c r="N109" s="101">
        <v>10</v>
      </c>
      <c r="O109" s="101">
        <v>10</v>
      </c>
      <c r="P109" s="101">
        <v>10</v>
      </c>
      <c r="Q109" s="101">
        <v>10</v>
      </c>
      <c r="R109" s="125">
        <v>10</v>
      </c>
    </row>
    <row r="110" spans="1:18" x14ac:dyDescent="0.25">
      <c r="C110" s="129" t="s">
        <v>35</v>
      </c>
      <c r="D110" s="101">
        <v>20</v>
      </c>
      <c r="E110" s="101">
        <v>20</v>
      </c>
      <c r="F110" s="101">
        <v>20</v>
      </c>
      <c r="G110" s="101">
        <v>20</v>
      </c>
      <c r="H110" s="101">
        <v>20</v>
      </c>
      <c r="I110" s="101">
        <v>20</v>
      </c>
      <c r="J110" s="101">
        <v>20</v>
      </c>
      <c r="L110" s="101">
        <v>20</v>
      </c>
      <c r="M110" s="101">
        <v>20</v>
      </c>
      <c r="N110" s="101">
        <v>20</v>
      </c>
      <c r="O110" s="101">
        <v>20</v>
      </c>
      <c r="P110" s="101">
        <v>20</v>
      </c>
      <c r="Q110" s="101">
        <v>20</v>
      </c>
      <c r="R110" s="125">
        <v>20</v>
      </c>
    </row>
    <row r="111" spans="1:18" x14ac:dyDescent="0.25">
      <c r="C111" s="129" t="s">
        <v>53</v>
      </c>
      <c r="D111" s="101">
        <v>16</v>
      </c>
      <c r="E111" s="101">
        <v>16</v>
      </c>
      <c r="F111" s="101">
        <v>16</v>
      </c>
      <c r="G111" s="101">
        <v>16</v>
      </c>
      <c r="H111" s="101">
        <v>16</v>
      </c>
      <c r="I111" s="101">
        <v>16</v>
      </c>
      <c r="J111" s="101">
        <v>16</v>
      </c>
      <c r="L111" s="101">
        <v>16</v>
      </c>
      <c r="M111" s="101">
        <v>16</v>
      </c>
      <c r="N111" s="101">
        <v>16</v>
      </c>
      <c r="O111" s="101">
        <v>16</v>
      </c>
      <c r="P111" s="101">
        <v>16</v>
      </c>
      <c r="Q111" s="101">
        <v>16</v>
      </c>
      <c r="R111" s="125">
        <v>16</v>
      </c>
    </row>
    <row r="112" spans="1:18" x14ac:dyDescent="0.25">
      <c r="C112" s="129" t="s">
        <v>69</v>
      </c>
      <c r="D112" s="101">
        <v>25</v>
      </c>
      <c r="E112" s="101">
        <v>30</v>
      </c>
      <c r="F112" s="101">
        <v>30</v>
      </c>
      <c r="G112" s="101">
        <v>30</v>
      </c>
      <c r="H112" s="101">
        <v>30</v>
      </c>
      <c r="I112" s="101">
        <v>30</v>
      </c>
      <c r="J112" s="101">
        <v>30</v>
      </c>
      <c r="L112" s="101">
        <v>26</v>
      </c>
      <c r="M112" s="101">
        <v>30</v>
      </c>
      <c r="N112" s="101">
        <v>30</v>
      </c>
      <c r="O112" s="101">
        <v>30</v>
      </c>
      <c r="P112" s="101">
        <v>30</v>
      </c>
      <c r="Q112" s="101">
        <v>30</v>
      </c>
      <c r="R112" s="125">
        <v>30</v>
      </c>
    </row>
    <row r="113" spans="3:18" x14ac:dyDescent="0.25">
      <c r="C113" s="129" t="s">
        <v>75</v>
      </c>
      <c r="D113" s="101">
        <v>24</v>
      </c>
      <c r="E113" s="101">
        <v>20</v>
      </c>
      <c r="F113" s="101">
        <v>20</v>
      </c>
      <c r="G113" s="101">
        <v>21</v>
      </c>
      <c r="H113" s="101">
        <v>21</v>
      </c>
      <c r="I113" s="101">
        <v>20</v>
      </c>
      <c r="J113" s="101">
        <v>20</v>
      </c>
      <c r="L113" s="101">
        <v>28.000000000000004</v>
      </c>
      <c r="M113" s="101">
        <v>24</v>
      </c>
      <c r="N113" s="101">
        <v>24</v>
      </c>
      <c r="O113" s="101">
        <v>24</v>
      </c>
      <c r="P113" s="101">
        <v>24</v>
      </c>
      <c r="Q113" s="101">
        <v>24</v>
      </c>
      <c r="R113" s="125">
        <v>24</v>
      </c>
    </row>
    <row r="114" spans="3:18" x14ac:dyDescent="0.25">
      <c r="C114" s="129" t="s">
        <v>89</v>
      </c>
      <c r="D114" s="101">
        <v>10</v>
      </c>
      <c r="E114" s="101">
        <v>10</v>
      </c>
      <c r="F114" s="101">
        <v>10</v>
      </c>
      <c r="G114" s="101">
        <v>10</v>
      </c>
      <c r="H114" s="101">
        <v>10</v>
      </c>
      <c r="I114" s="101">
        <v>10</v>
      </c>
      <c r="J114" s="101">
        <v>10</v>
      </c>
      <c r="L114" s="101">
        <v>10</v>
      </c>
      <c r="M114" s="101">
        <v>10</v>
      </c>
      <c r="N114" s="101">
        <v>10</v>
      </c>
      <c r="O114" s="101">
        <v>10</v>
      </c>
      <c r="P114" s="101">
        <v>10</v>
      </c>
      <c r="Q114" s="101">
        <v>10</v>
      </c>
      <c r="R114" s="125">
        <v>10</v>
      </c>
    </row>
    <row r="118" spans="3:18" ht="47.25" x14ac:dyDescent="0.25">
      <c r="C118" s="128" t="s">
        <v>205</v>
      </c>
      <c r="D118" s="127" t="s">
        <v>201</v>
      </c>
      <c r="E118" s="215" t="s">
        <v>202</v>
      </c>
      <c r="F118" s="215" t="s">
        <v>203</v>
      </c>
      <c r="G118" s="215" t="s">
        <v>204</v>
      </c>
      <c r="K118" s="128" t="s">
        <v>205</v>
      </c>
      <c r="L118" s="127" t="s">
        <v>201</v>
      </c>
      <c r="M118" s="215" t="s">
        <v>202</v>
      </c>
      <c r="N118" s="215" t="s">
        <v>203</v>
      </c>
      <c r="O118" s="215" t="s">
        <v>204</v>
      </c>
    </row>
    <row r="119" spans="3:18" x14ac:dyDescent="0.25">
      <c r="C119" s="128" t="s">
        <v>0</v>
      </c>
      <c r="D119" s="104">
        <v>3</v>
      </c>
      <c r="E119" s="101">
        <v>5</v>
      </c>
      <c r="F119" s="101">
        <v>8</v>
      </c>
      <c r="G119" s="101">
        <v>10</v>
      </c>
      <c r="K119" s="128" t="s">
        <v>0</v>
      </c>
      <c r="L119" s="104">
        <v>2</v>
      </c>
      <c r="M119" s="101">
        <v>3</v>
      </c>
      <c r="N119" s="101">
        <v>4</v>
      </c>
      <c r="O119" s="101">
        <v>7</v>
      </c>
    </row>
    <row r="120" spans="3:18" x14ac:dyDescent="0.25">
      <c r="C120" s="129" t="s">
        <v>35</v>
      </c>
      <c r="D120" s="104">
        <v>4</v>
      </c>
      <c r="E120" s="101">
        <v>6</v>
      </c>
      <c r="F120" s="101">
        <v>8</v>
      </c>
      <c r="G120" s="101">
        <v>10</v>
      </c>
      <c r="K120" s="129" t="s">
        <v>35</v>
      </c>
      <c r="L120" s="104">
        <v>4</v>
      </c>
      <c r="M120" s="101">
        <v>6</v>
      </c>
      <c r="N120" s="101">
        <v>8</v>
      </c>
      <c r="O120" s="101">
        <v>12</v>
      </c>
    </row>
    <row r="121" spans="3:18" x14ac:dyDescent="0.25">
      <c r="C121" s="129" t="s">
        <v>53</v>
      </c>
      <c r="D121" s="104">
        <v>4</v>
      </c>
      <c r="E121" s="101">
        <v>6</v>
      </c>
      <c r="F121" s="101">
        <v>8</v>
      </c>
      <c r="G121" s="101">
        <v>10</v>
      </c>
      <c r="K121" s="129" t="s">
        <v>53</v>
      </c>
      <c r="L121" s="104">
        <v>2</v>
      </c>
      <c r="M121" s="101">
        <v>3</v>
      </c>
      <c r="N121" s="101">
        <v>4</v>
      </c>
      <c r="O121" s="101">
        <v>8</v>
      </c>
    </row>
    <row r="122" spans="3:18" x14ac:dyDescent="0.25">
      <c r="C122" s="129" t="s">
        <v>69</v>
      </c>
      <c r="D122" s="104">
        <v>2</v>
      </c>
      <c r="E122" s="101">
        <v>4</v>
      </c>
      <c r="F122" s="101">
        <v>6</v>
      </c>
      <c r="G122" s="101">
        <v>10</v>
      </c>
      <c r="K122" s="129" t="s">
        <v>69</v>
      </c>
      <c r="L122" s="104">
        <v>2</v>
      </c>
      <c r="M122" s="101">
        <v>4</v>
      </c>
      <c r="N122" s="101">
        <v>6</v>
      </c>
      <c r="O122" s="101">
        <v>12</v>
      </c>
    </row>
    <row r="123" spans="3:18" x14ac:dyDescent="0.25">
      <c r="C123" s="129" t="s">
        <v>75</v>
      </c>
      <c r="D123" s="104">
        <v>4</v>
      </c>
      <c r="E123" s="101">
        <v>5</v>
      </c>
      <c r="F123" s="101">
        <v>7</v>
      </c>
      <c r="G123" s="101">
        <v>10</v>
      </c>
      <c r="K123" s="129" t="s">
        <v>75</v>
      </c>
      <c r="L123" s="104">
        <v>4</v>
      </c>
      <c r="M123" s="101">
        <v>6</v>
      </c>
      <c r="N123" s="101">
        <v>8</v>
      </c>
      <c r="O123" s="101">
        <v>12</v>
      </c>
    </row>
  </sheetData>
  <mergeCells count="32">
    <mergeCell ref="A101:C102"/>
    <mergeCell ref="A58:A69"/>
    <mergeCell ref="A34:C35"/>
    <mergeCell ref="A38:A53"/>
    <mergeCell ref="B38:B44"/>
    <mergeCell ref="B45:B51"/>
    <mergeCell ref="A54:C55"/>
    <mergeCell ref="B74:B75"/>
    <mergeCell ref="B59:B60"/>
    <mergeCell ref="B64:B67"/>
    <mergeCell ref="B68:B69"/>
    <mergeCell ref="A4:A33"/>
    <mergeCell ref="B4:B7"/>
    <mergeCell ref="B8:B21"/>
    <mergeCell ref="B23:B27"/>
    <mergeCell ref="B28:B29"/>
    <mergeCell ref="B30:B33"/>
    <mergeCell ref="A94:C95"/>
    <mergeCell ref="A98:A100"/>
    <mergeCell ref="B98:B99"/>
    <mergeCell ref="A70:C71"/>
    <mergeCell ref="A74:A78"/>
    <mergeCell ref="B76:B78"/>
    <mergeCell ref="A79:C80"/>
    <mergeCell ref="A83:A93"/>
    <mergeCell ref="B83:B88"/>
    <mergeCell ref="B89:B93"/>
    <mergeCell ref="D2:J2"/>
    <mergeCell ref="L2:R2"/>
    <mergeCell ref="A2:A3"/>
    <mergeCell ref="C2:C3"/>
    <mergeCell ref="B2:B3"/>
  </mergeCells>
  <phoneticPr fontId="1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4"/>
  <sheetViews>
    <sheetView workbookViewId="0">
      <pane xSplit="2" ySplit="1" topLeftCell="C2" activePane="bottomRight" state="frozen"/>
      <selection pane="topRight" activeCell="C1" sqref="C1"/>
      <selection pane="bottomLeft" activeCell="A2" sqref="A2"/>
      <selection pane="bottomRight" activeCell="H10" sqref="H10"/>
    </sheetView>
  </sheetViews>
  <sheetFormatPr defaultColWidth="8.85546875" defaultRowHeight="21" x14ac:dyDescent="0.25"/>
  <cols>
    <col min="1" max="1" width="8.28515625" style="73" customWidth="1"/>
    <col min="2" max="2" width="34.5703125" style="74" customWidth="1"/>
    <col min="3" max="3" width="96.42578125" style="1" customWidth="1"/>
    <col min="4" max="4" width="19.42578125" style="122" customWidth="1"/>
    <col min="5" max="5" width="19.85546875" style="75" customWidth="1"/>
    <col min="6" max="16384" width="8.85546875" style="75"/>
  </cols>
  <sheetData>
    <row r="1" spans="1:5" ht="42" customHeight="1" thickBot="1" x14ac:dyDescent="0.3">
      <c r="A1" s="130" t="s">
        <v>189</v>
      </c>
      <c r="B1" s="131" t="s">
        <v>190</v>
      </c>
      <c r="C1" s="131" t="s">
        <v>191</v>
      </c>
      <c r="D1" s="221" t="s">
        <v>186</v>
      </c>
      <c r="E1" s="221" t="s">
        <v>187</v>
      </c>
    </row>
    <row r="2" spans="1:5" ht="15.75" x14ac:dyDescent="0.25">
      <c r="A2" s="319" t="s">
        <v>96</v>
      </c>
      <c r="B2" s="350" t="s">
        <v>95</v>
      </c>
      <c r="C2" s="109" t="s">
        <v>230</v>
      </c>
      <c r="D2" s="222" t="s">
        <v>3</v>
      </c>
      <c r="E2" s="222" t="s">
        <v>3</v>
      </c>
    </row>
    <row r="3" spans="1:5" ht="15.75" x14ac:dyDescent="0.25">
      <c r="A3" s="320"/>
      <c r="B3" s="351"/>
      <c r="C3" s="110" t="s">
        <v>97</v>
      </c>
      <c r="D3" s="218" t="s">
        <v>3</v>
      </c>
      <c r="E3" s="218" t="s">
        <v>3</v>
      </c>
    </row>
    <row r="4" spans="1:5" ht="16.5" thickBot="1" x14ac:dyDescent="0.3">
      <c r="A4" s="320"/>
      <c r="B4" s="351"/>
      <c r="C4" s="111" t="s">
        <v>98</v>
      </c>
      <c r="D4" s="223" t="s">
        <v>3</v>
      </c>
      <c r="E4" s="223" t="s">
        <v>3</v>
      </c>
    </row>
    <row r="5" spans="1:5" ht="15.75" x14ac:dyDescent="0.25">
      <c r="A5" s="320"/>
      <c r="B5" s="322" t="s">
        <v>99</v>
      </c>
      <c r="C5" s="112" t="s">
        <v>100</v>
      </c>
      <c r="D5" s="216">
        <v>50</v>
      </c>
      <c r="E5" s="216">
        <v>50</v>
      </c>
    </row>
    <row r="6" spans="1:5" ht="16.5" thickBot="1" x14ac:dyDescent="0.3">
      <c r="A6" s="320"/>
      <c r="B6" s="352"/>
      <c r="C6" s="113" t="s">
        <v>101</v>
      </c>
      <c r="D6" s="179">
        <v>50</v>
      </c>
      <c r="E6" s="179">
        <v>50</v>
      </c>
    </row>
    <row r="7" spans="1:5" ht="15.75" x14ac:dyDescent="0.25">
      <c r="A7" s="353" t="s">
        <v>34</v>
      </c>
      <c r="B7" s="354"/>
      <c r="C7" s="354"/>
      <c r="D7" s="180">
        <f>SUM(D2:D6)</f>
        <v>100</v>
      </c>
      <c r="E7" s="180">
        <f>SUM(E2:E6)</f>
        <v>100</v>
      </c>
    </row>
    <row r="8" spans="1:5" s="86" customFormat="1" ht="16.5" thickBot="1" x14ac:dyDescent="0.3">
      <c r="A8" s="355"/>
      <c r="B8" s="356"/>
      <c r="C8" s="356"/>
      <c r="D8" s="179">
        <f>D7*0.08</f>
        <v>8</v>
      </c>
      <c r="E8" s="179">
        <f>E7*0.08</f>
        <v>8</v>
      </c>
    </row>
    <row r="9" spans="1:5" s="86" customFormat="1" ht="21.75" thickBot="1" x14ac:dyDescent="0.3">
      <c r="A9" s="9"/>
      <c r="B9" s="23"/>
      <c r="C9" s="93"/>
      <c r="D9" s="116"/>
      <c r="E9" s="116"/>
    </row>
    <row r="10" spans="1:5" ht="31.5" x14ac:dyDescent="0.25">
      <c r="A10" s="357" t="s">
        <v>244</v>
      </c>
      <c r="B10" s="361" t="s">
        <v>102</v>
      </c>
      <c r="C10" s="114" t="s">
        <v>231</v>
      </c>
      <c r="D10" s="222" t="s">
        <v>3</v>
      </c>
      <c r="E10" s="222" t="s">
        <v>3</v>
      </c>
    </row>
    <row r="11" spans="1:5" ht="15.75" x14ac:dyDescent="0.25">
      <c r="A11" s="358"/>
      <c r="B11" s="362"/>
      <c r="C11" s="115" t="s">
        <v>103</v>
      </c>
      <c r="D11" s="224">
        <v>2.5</v>
      </c>
      <c r="E11" s="224">
        <v>2</v>
      </c>
    </row>
    <row r="12" spans="1:5" ht="16.5" thickBot="1" x14ac:dyDescent="0.3">
      <c r="A12" s="358"/>
      <c r="B12" s="362"/>
      <c r="C12" s="115" t="s">
        <v>104</v>
      </c>
      <c r="D12" s="185">
        <v>2.5</v>
      </c>
      <c r="E12" s="185">
        <v>2</v>
      </c>
    </row>
    <row r="13" spans="1:5" ht="15.75" x14ac:dyDescent="0.25">
      <c r="A13" s="358"/>
      <c r="B13" s="361" t="s">
        <v>107</v>
      </c>
      <c r="C13" s="114" t="s">
        <v>232</v>
      </c>
      <c r="D13" s="225" t="s">
        <v>3</v>
      </c>
      <c r="E13" s="225" t="s">
        <v>3</v>
      </c>
    </row>
    <row r="14" spans="1:5" ht="15.75" x14ac:dyDescent="0.25">
      <c r="A14" s="358"/>
      <c r="B14" s="362"/>
      <c r="C14" s="115" t="s">
        <v>233</v>
      </c>
      <c r="D14" s="224">
        <v>10</v>
      </c>
      <c r="E14" s="224">
        <v>5</v>
      </c>
    </row>
    <row r="15" spans="1:5" ht="15.75" x14ac:dyDescent="0.25">
      <c r="A15" s="358"/>
      <c r="B15" s="362"/>
      <c r="C15" s="115" t="s">
        <v>234</v>
      </c>
      <c r="D15" s="224">
        <v>15</v>
      </c>
      <c r="E15" s="224">
        <v>11</v>
      </c>
    </row>
    <row r="16" spans="1:5" ht="16.5" thickBot="1" x14ac:dyDescent="0.3">
      <c r="A16" s="358"/>
      <c r="B16" s="363"/>
      <c r="C16" s="178" t="s">
        <v>105</v>
      </c>
      <c r="D16" s="185">
        <v>10</v>
      </c>
      <c r="E16" s="185">
        <v>5</v>
      </c>
    </row>
    <row r="17" spans="1:5" ht="15.75" x14ac:dyDescent="0.25">
      <c r="A17" s="358"/>
      <c r="B17" s="364" t="s">
        <v>106</v>
      </c>
      <c r="C17" s="114" t="s">
        <v>108</v>
      </c>
      <c r="D17" s="184">
        <v>20</v>
      </c>
      <c r="E17" s="184">
        <v>15</v>
      </c>
    </row>
    <row r="18" spans="1:5" ht="16.5" thickBot="1" x14ac:dyDescent="0.3">
      <c r="A18" s="358"/>
      <c r="B18" s="365"/>
      <c r="C18" s="178" t="s">
        <v>109</v>
      </c>
      <c r="D18" s="185">
        <v>15</v>
      </c>
      <c r="E18" s="185">
        <v>35</v>
      </c>
    </row>
    <row r="19" spans="1:5" ht="15.75" x14ac:dyDescent="0.25">
      <c r="A19" s="359"/>
      <c r="B19" s="364" t="s">
        <v>110</v>
      </c>
      <c r="C19" s="114" t="s">
        <v>111</v>
      </c>
      <c r="D19" s="184">
        <v>5</v>
      </c>
      <c r="E19" s="184">
        <v>5</v>
      </c>
    </row>
    <row r="20" spans="1:5" ht="32.25" thickBot="1" x14ac:dyDescent="0.3">
      <c r="A20" s="359"/>
      <c r="B20" s="365"/>
      <c r="C20" s="178" t="s">
        <v>112</v>
      </c>
      <c r="D20" s="185">
        <v>5</v>
      </c>
      <c r="E20" s="185">
        <v>5</v>
      </c>
    </row>
    <row r="21" spans="1:5" ht="15.75" x14ac:dyDescent="0.25">
      <c r="A21" s="359"/>
      <c r="B21" s="364" t="s">
        <v>113</v>
      </c>
      <c r="C21" s="114" t="s">
        <v>114</v>
      </c>
      <c r="D21" s="184">
        <v>5</v>
      </c>
      <c r="E21" s="184">
        <v>5</v>
      </c>
    </row>
    <row r="22" spans="1:5" ht="15.75" x14ac:dyDescent="0.25">
      <c r="A22" s="359"/>
      <c r="B22" s="366"/>
      <c r="C22" s="115" t="s">
        <v>115</v>
      </c>
      <c r="D22" s="224">
        <v>5</v>
      </c>
      <c r="E22" s="224">
        <v>5</v>
      </c>
    </row>
    <row r="23" spans="1:5" ht="16.5" thickBot="1" x14ac:dyDescent="0.3">
      <c r="A23" s="360"/>
      <c r="B23" s="365"/>
      <c r="C23" s="178" t="s">
        <v>116</v>
      </c>
      <c r="D23" s="185">
        <v>5</v>
      </c>
      <c r="E23" s="185">
        <v>5</v>
      </c>
    </row>
    <row r="24" spans="1:5" ht="15.75" x14ac:dyDescent="0.25">
      <c r="A24" s="370" t="s">
        <v>34</v>
      </c>
      <c r="B24" s="371"/>
      <c r="C24" s="371"/>
      <c r="D24" s="184">
        <f>SUM(D10:D23)</f>
        <v>100</v>
      </c>
      <c r="E24" s="184">
        <f>SUM(E10:E23)</f>
        <v>100</v>
      </c>
    </row>
    <row r="25" spans="1:5" s="86" customFormat="1" ht="16.5" thickBot="1" x14ac:dyDescent="0.3">
      <c r="A25" s="372"/>
      <c r="B25" s="373"/>
      <c r="C25" s="373"/>
      <c r="D25" s="185">
        <f>D24*0.26</f>
        <v>26</v>
      </c>
      <c r="E25" s="185">
        <f>E24*0.26</f>
        <v>26</v>
      </c>
    </row>
    <row r="26" spans="1:5" s="86" customFormat="1" ht="21.75" thickBot="1" x14ac:dyDescent="0.3">
      <c r="A26" s="9"/>
      <c r="B26" s="23"/>
      <c r="C26" s="93"/>
      <c r="D26" s="116"/>
      <c r="E26" s="116"/>
    </row>
    <row r="27" spans="1:5" ht="15.75" x14ac:dyDescent="0.25">
      <c r="A27" s="374" t="s">
        <v>117</v>
      </c>
      <c r="B27" s="377" t="s">
        <v>118</v>
      </c>
      <c r="C27" s="171" t="s">
        <v>119</v>
      </c>
      <c r="D27" s="225" t="s">
        <v>3</v>
      </c>
      <c r="E27" s="225" t="s">
        <v>3</v>
      </c>
    </row>
    <row r="28" spans="1:5" ht="31.5" x14ac:dyDescent="0.25">
      <c r="A28" s="375"/>
      <c r="B28" s="378"/>
      <c r="C28" s="172" t="s">
        <v>120</v>
      </c>
      <c r="D28" s="226">
        <v>4</v>
      </c>
      <c r="E28" s="226">
        <v>7</v>
      </c>
    </row>
    <row r="29" spans="1:5" ht="15.75" x14ac:dyDescent="0.25">
      <c r="A29" s="375"/>
      <c r="B29" s="378"/>
      <c r="C29" s="172" t="s">
        <v>121</v>
      </c>
      <c r="D29" s="224">
        <v>5</v>
      </c>
      <c r="E29" s="224">
        <v>5</v>
      </c>
    </row>
    <row r="30" spans="1:5" ht="31.5" x14ac:dyDescent="0.25">
      <c r="A30" s="375"/>
      <c r="B30" s="378"/>
      <c r="C30" s="172" t="s">
        <v>122</v>
      </c>
      <c r="D30" s="224">
        <v>5</v>
      </c>
      <c r="E30" s="224">
        <v>6</v>
      </c>
    </row>
    <row r="31" spans="1:5" ht="31.5" x14ac:dyDescent="0.25">
      <c r="A31" s="375"/>
      <c r="B31" s="378"/>
      <c r="C31" s="172" t="s">
        <v>123</v>
      </c>
      <c r="D31" s="224">
        <v>4</v>
      </c>
      <c r="E31" s="224">
        <v>5</v>
      </c>
    </row>
    <row r="32" spans="1:5" ht="15.75" x14ac:dyDescent="0.25">
      <c r="A32" s="375"/>
      <c r="B32" s="378"/>
      <c r="C32" s="172" t="s">
        <v>188</v>
      </c>
      <c r="D32" s="224">
        <v>4</v>
      </c>
      <c r="E32" s="224">
        <v>8</v>
      </c>
    </row>
    <row r="33" spans="1:5" ht="32.25" thickBot="1" x14ac:dyDescent="0.3">
      <c r="A33" s="375"/>
      <c r="B33" s="379"/>
      <c r="C33" s="173" t="s">
        <v>235</v>
      </c>
      <c r="D33" s="185">
        <v>5</v>
      </c>
      <c r="E33" s="185">
        <v>5</v>
      </c>
    </row>
    <row r="34" spans="1:5" ht="31.5" x14ac:dyDescent="0.25">
      <c r="A34" s="376"/>
      <c r="B34" s="377" t="s">
        <v>124</v>
      </c>
      <c r="C34" s="174" t="s">
        <v>125</v>
      </c>
      <c r="D34" s="225" t="s">
        <v>3</v>
      </c>
      <c r="E34" s="225" t="s">
        <v>3</v>
      </c>
    </row>
    <row r="35" spans="1:5" ht="15.75" x14ac:dyDescent="0.25">
      <c r="A35" s="376"/>
      <c r="B35" s="378"/>
      <c r="C35" s="175" t="s">
        <v>236</v>
      </c>
      <c r="D35" s="224">
        <v>10</v>
      </c>
      <c r="E35" s="224">
        <v>6</v>
      </c>
    </row>
    <row r="36" spans="1:5" ht="15.75" x14ac:dyDescent="0.25">
      <c r="A36" s="376"/>
      <c r="B36" s="378"/>
      <c r="C36" s="175" t="s">
        <v>126</v>
      </c>
      <c r="D36" s="224">
        <v>6</v>
      </c>
      <c r="E36" s="224">
        <v>3</v>
      </c>
    </row>
    <row r="37" spans="1:5" ht="32.25" thickBot="1" x14ac:dyDescent="0.3">
      <c r="A37" s="376"/>
      <c r="B37" s="379"/>
      <c r="C37" s="176" t="s">
        <v>127</v>
      </c>
      <c r="D37" s="185">
        <v>8</v>
      </c>
      <c r="E37" s="185">
        <v>4</v>
      </c>
    </row>
    <row r="38" spans="1:5" ht="31.5" x14ac:dyDescent="0.25">
      <c r="A38" s="376"/>
      <c r="B38" s="377" t="s">
        <v>128</v>
      </c>
      <c r="C38" s="174" t="s">
        <v>129</v>
      </c>
      <c r="D38" s="225">
        <v>8</v>
      </c>
      <c r="E38" s="225">
        <v>10</v>
      </c>
    </row>
    <row r="39" spans="1:5" ht="31.5" x14ac:dyDescent="0.25">
      <c r="A39" s="376"/>
      <c r="B39" s="378"/>
      <c r="C39" s="175" t="s">
        <v>237</v>
      </c>
      <c r="D39" s="217">
        <v>8</v>
      </c>
      <c r="E39" s="217">
        <v>10</v>
      </c>
    </row>
    <row r="40" spans="1:5" ht="31.5" x14ac:dyDescent="0.25">
      <c r="A40" s="376"/>
      <c r="B40" s="378"/>
      <c r="C40" s="175" t="s">
        <v>130</v>
      </c>
      <c r="D40" s="217">
        <v>8</v>
      </c>
      <c r="E40" s="217">
        <v>5</v>
      </c>
    </row>
    <row r="41" spans="1:5" ht="32.25" thickBot="1" x14ac:dyDescent="0.3">
      <c r="A41" s="376"/>
      <c r="B41" s="379"/>
      <c r="C41" s="176" t="s">
        <v>131</v>
      </c>
      <c r="D41" s="179">
        <v>5</v>
      </c>
      <c r="E41" s="179">
        <v>4</v>
      </c>
    </row>
    <row r="42" spans="1:5" ht="15.75" x14ac:dyDescent="0.25">
      <c r="A42" s="376"/>
      <c r="B42" s="377" t="s">
        <v>132</v>
      </c>
      <c r="C42" s="174" t="s">
        <v>133</v>
      </c>
      <c r="D42" s="184">
        <v>4</v>
      </c>
      <c r="E42" s="184">
        <v>2</v>
      </c>
    </row>
    <row r="43" spans="1:5" ht="15.75" x14ac:dyDescent="0.25">
      <c r="A43" s="376"/>
      <c r="B43" s="378"/>
      <c r="C43" s="175" t="s">
        <v>134</v>
      </c>
      <c r="D43" s="224">
        <v>3</v>
      </c>
      <c r="E43" s="224">
        <v>6</v>
      </c>
    </row>
    <row r="44" spans="1:5" ht="15.75" x14ac:dyDescent="0.25">
      <c r="A44" s="376"/>
      <c r="B44" s="378"/>
      <c r="C44" s="175" t="s">
        <v>240</v>
      </c>
      <c r="D44" s="224">
        <v>3</v>
      </c>
      <c r="E44" s="224">
        <v>3</v>
      </c>
    </row>
    <row r="45" spans="1:5" ht="15.75" x14ac:dyDescent="0.25">
      <c r="A45" s="376"/>
      <c r="B45" s="378"/>
      <c r="C45" s="175" t="s">
        <v>135</v>
      </c>
      <c r="D45" s="224">
        <v>3</v>
      </c>
      <c r="E45" s="224">
        <v>4</v>
      </c>
    </row>
    <row r="46" spans="1:5" ht="15.75" x14ac:dyDescent="0.25">
      <c r="A46" s="376"/>
      <c r="B46" s="378"/>
      <c r="C46" s="175" t="s">
        <v>239</v>
      </c>
      <c r="D46" s="224">
        <v>4</v>
      </c>
      <c r="E46" s="224">
        <v>4</v>
      </c>
    </row>
    <row r="47" spans="1:5" ht="16.5" thickBot="1" x14ac:dyDescent="0.3">
      <c r="A47" s="376"/>
      <c r="B47" s="379"/>
      <c r="C47" s="177" t="s">
        <v>238</v>
      </c>
      <c r="D47" s="185">
        <v>3</v>
      </c>
      <c r="E47" s="185">
        <v>3</v>
      </c>
    </row>
    <row r="48" spans="1:5" ht="15.75" x14ac:dyDescent="0.25">
      <c r="A48" s="406" t="s">
        <v>34</v>
      </c>
      <c r="B48" s="407"/>
      <c r="C48" s="408"/>
      <c r="D48" s="184">
        <f>SUM(D27:D47)</f>
        <v>100</v>
      </c>
      <c r="E48" s="184">
        <f>SUM(E27:E47)</f>
        <v>100</v>
      </c>
    </row>
    <row r="49" spans="1:5" s="86" customFormat="1" ht="16.5" thickBot="1" x14ac:dyDescent="0.3">
      <c r="A49" s="409"/>
      <c r="B49" s="410"/>
      <c r="C49" s="410"/>
      <c r="D49" s="185">
        <f>D48*0.25</f>
        <v>25</v>
      </c>
      <c r="E49" s="185">
        <f>E48*0.25</f>
        <v>25</v>
      </c>
    </row>
    <row r="50" spans="1:5" s="86" customFormat="1" ht="21.75" thickBot="1" x14ac:dyDescent="0.3">
      <c r="A50" s="9"/>
      <c r="B50" s="23"/>
      <c r="C50" s="93"/>
      <c r="D50" s="116"/>
      <c r="E50" s="116"/>
    </row>
    <row r="51" spans="1:5" ht="31.5" x14ac:dyDescent="0.25">
      <c r="A51" s="411" t="s">
        <v>136</v>
      </c>
      <c r="B51" s="414" t="s">
        <v>137</v>
      </c>
      <c r="C51" s="165" t="s">
        <v>138</v>
      </c>
      <c r="D51" s="216">
        <v>6</v>
      </c>
      <c r="E51" s="216">
        <v>9</v>
      </c>
    </row>
    <row r="52" spans="1:5" ht="16.5" customHeight="1" x14ac:dyDescent="0.25">
      <c r="A52" s="412"/>
      <c r="B52" s="415"/>
      <c r="C52" s="166" t="s">
        <v>139</v>
      </c>
      <c r="D52" s="220">
        <v>8</v>
      </c>
      <c r="E52" s="220">
        <v>8</v>
      </c>
    </row>
    <row r="53" spans="1:5" ht="16.5" customHeight="1" thickBot="1" x14ac:dyDescent="0.3">
      <c r="A53" s="412"/>
      <c r="B53" s="458"/>
      <c r="C53" s="167" t="s">
        <v>140</v>
      </c>
      <c r="D53" s="219">
        <v>4</v>
      </c>
      <c r="E53" s="219">
        <v>5</v>
      </c>
    </row>
    <row r="54" spans="1:5" ht="16.5" customHeight="1" x14ac:dyDescent="0.25">
      <c r="A54" s="412"/>
      <c r="B54" s="414" t="s">
        <v>141</v>
      </c>
      <c r="C54" s="165" t="s">
        <v>142</v>
      </c>
      <c r="D54" s="216">
        <v>8</v>
      </c>
      <c r="E54" s="216">
        <v>3</v>
      </c>
    </row>
    <row r="55" spans="1:5" ht="16.5" customHeight="1" x14ac:dyDescent="0.25">
      <c r="A55" s="412"/>
      <c r="B55" s="415"/>
      <c r="C55" s="166" t="s">
        <v>241</v>
      </c>
      <c r="D55" s="220">
        <v>3</v>
      </c>
      <c r="E55" s="220">
        <v>3</v>
      </c>
    </row>
    <row r="56" spans="1:5" ht="16.5" customHeight="1" thickBot="1" x14ac:dyDescent="0.3">
      <c r="A56" s="412"/>
      <c r="B56" s="458"/>
      <c r="C56" s="167" t="s">
        <v>143</v>
      </c>
      <c r="D56" s="219">
        <v>5</v>
      </c>
      <c r="E56" s="219">
        <v>3</v>
      </c>
    </row>
    <row r="57" spans="1:5" ht="16.5" customHeight="1" x14ac:dyDescent="0.25">
      <c r="A57" s="412"/>
      <c r="B57" s="414" t="s">
        <v>144</v>
      </c>
      <c r="C57" s="165" t="s">
        <v>145</v>
      </c>
      <c r="D57" s="180">
        <v>6</v>
      </c>
      <c r="E57" s="180">
        <v>6</v>
      </c>
    </row>
    <row r="58" spans="1:5" ht="16.5" customHeight="1" x14ac:dyDescent="0.25">
      <c r="A58" s="412"/>
      <c r="B58" s="415"/>
      <c r="C58" s="166" t="s">
        <v>146</v>
      </c>
      <c r="D58" s="217">
        <v>8</v>
      </c>
      <c r="E58" s="217">
        <v>6</v>
      </c>
    </row>
    <row r="59" spans="1:5" ht="16.5" customHeight="1" thickBot="1" x14ac:dyDescent="0.3">
      <c r="A59" s="412"/>
      <c r="B59" s="458"/>
      <c r="C59" s="167" t="s">
        <v>147</v>
      </c>
      <c r="D59" s="179">
        <v>3</v>
      </c>
      <c r="E59" s="179">
        <v>3</v>
      </c>
    </row>
    <row r="60" spans="1:5" ht="16.5" customHeight="1" x14ac:dyDescent="0.25">
      <c r="A60" s="412"/>
      <c r="B60" s="414" t="s">
        <v>148</v>
      </c>
      <c r="C60" s="165" t="s">
        <v>149</v>
      </c>
      <c r="D60" s="216">
        <v>5</v>
      </c>
      <c r="E60" s="216">
        <v>4</v>
      </c>
    </row>
    <row r="61" spans="1:5" ht="16.5" customHeight="1" thickBot="1" x14ac:dyDescent="0.3">
      <c r="A61" s="412"/>
      <c r="B61" s="415"/>
      <c r="C61" s="167" t="s">
        <v>150</v>
      </c>
      <c r="D61" s="219">
        <v>5</v>
      </c>
      <c r="E61" s="219">
        <v>4</v>
      </c>
    </row>
    <row r="62" spans="1:5" ht="16.5" customHeight="1" x14ac:dyDescent="0.25">
      <c r="A62" s="412"/>
      <c r="B62" s="414" t="s">
        <v>151</v>
      </c>
      <c r="C62" s="165" t="s">
        <v>152</v>
      </c>
      <c r="D62" s="216">
        <v>2</v>
      </c>
      <c r="E62" s="216">
        <v>3</v>
      </c>
    </row>
    <row r="63" spans="1:5" ht="16.5" customHeight="1" x14ac:dyDescent="0.25">
      <c r="A63" s="412"/>
      <c r="B63" s="415"/>
      <c r="C63" s="166" t="s">
        <v>160</v>
      </c>
      <c r="D63" s="218" t="s">
        <v>3</v>
      </c>
      <c r="E63" s="218">
        <v>5</v>
      </c>
    </row>
    <row r="64" spans="1:5" ht="16.5" customHeight="1" thickBot="1" x14ac:dyDescent="0.3">
      <c r="A64" s="412"/>
      <c r="B64" s="458"/>
      <c r="C64" s="167" t="s">
        <v>161</v>
      </c>
      <c r="D64" s="219">
        <v>2</v>
      </c>
      <c r="E64" s="219">
        <v>3</v>
      </c>
    </row>
    <row r="65" spans="1:10" s="86" customFormat="1" ht="16.5" customHeight="1" x14ac:dyDescent="0.25">
      <c r="A65" s="412"/>
      <c r="B65" s="414" t="s">
        <v>153</v>
      </c>
      <c r="C65" s="165" t="s">
        <v>154</v>
      </c>
      <c r="D65" s="216">
        <v>7</v>
      </c>
      <c r="E65" s="216">
        <v>8</v>
      </c>
    </row>
    <row r="66" spans="1:10" s="86" customFormat="1" ht="16.5" customHeight="1" x14ac:dyDescent="0.25">
      <c r="A66" s="412"/>
      <c r="B66" s="415"/>
      <c r="C66" s="166" t="s">
        <v>155</v>
      </c>
      <c r="D66" s="217">
        <v>8</v>
      </c>
      <c r="E66" s="217">
        <v>9</v>
      </c>
    </row>
    <row r="67" spans="1:10" ht="16.5" customHeight="1" x14ac:dyDescent="0.25">
      <c r="A67" s="412"/>
      <c r="B67" s="415"/>
      <c r="C67" s="166" t="s">
        <v>156</v>
      </c>
      <c r="D67" s="217">
        <v>5</v>
      </c>
      <c r="E67" s="217">
        <v>6</v>
      </c>
    </row>
    <row r="68" spans="1:10" ht="16.5" customHeight="1" x14ac:dyDescent="0.25">
      <c r="A68" s="412"/>
      <c r="B68" s="415"/>
      <c r="C68" s="166" t="s">
        <v>157</v>
      </c>
      <c r="D68" s="217">
        <v>5</v>
      </c>
      <c r="E68" s="217">
        <v>4</v>
      </c>
    </row>
    <row r="69" spans="1:10" ht="15.75" customHeight="1" x14ac:dyDescent="0.25">
      <c r="A69" s="412"/>
      <c r="B69" s="415"/>
      <c r="C69" s="166" t="s">
        <v>158</v>
      </c>
      <c r="D69" s="217">
        <v>5</v>
      </c>
      <c r="E69" s="217">
        <v>3</v>
      </c>
    </row>
    <row r="70" spans="1:10" ht="16.5" customHeight="1" thickBot="1" x14ac:dyDescent="0.3">
      <c r="A70" s="413"/>
      <c r="B70" s="458"/>
      <c r="C70" s="167" t="s">
        <v>159</v>
      </c>
      <c r="D70" s="179">
        <v>5</v>
      </c>
      <c r="E70" s="179">
        <v>5</v>
      </c>
    </row>
    <row r="71" spans="1:10" ht="15.75" customHeight="1" x14ac:dyDescent="0.25">
      <c r="A71" s="386" t="s">
        <v>34</v>
      </c>
      <c r="B71" s="387"/>
      <c r="C71" s="459"/>
      <c r="D71" s="180">
        <f>SUM(D51:D70)</f>
        <v>100</v>
      </c>
      <c r="E71" s="180">
        <f>SUM(E51:E70)</f>
        <v>100</v>
      </c>
    </row>
    <row r="72" spans="1:10" ht="16.5" thickBot="1" x14ac:dyDescent="0.3">
      <c r="A72" s="388"/>
      <c r="B72" s="389"/>
      <c r="C72" s="389"/>
      <c r="D72" s="179">
        <f>D71*0.21</f>
        <v>21</v>
      </c>
      <c r="E72" s="179">
        <f>E71*0.21</f>
        <v>21</v>
      </c>
    </row>
    <row r="73" spans="1:10" ht="21.75" thickBot="1" x14ac:dyDescent="0.3">
      <c r="A73" s="9"/>
      <c r="B73" s="23"/>
      <c r="C73" s="93"/>
      <c r="D73" s="116"/>
      <c r="E73" s="116"/>
    </row>
    <row r="74" spans="1:10" ht="15.75" customHeight="1" x14ac:dyDescent="0.25">
      <c r="A74" s="390" t="s">
        <v>162</v>
      </c>
      <c r="B74" s="393" t="s">
        <v>163</v>
      </c>
      <c r="C74" s="154" t="s">
        <v>165</v>
      </c>
      <c r="D74" s="180">
        <v>14</v>
      </c>
      <c r="E74" s="180">
        <v>12</v>
      </c>
    </row>
    <row r="75" spans="1:10" ht="15.75" customHeight="1" x14ac:dyDescent="0.25">
      <c r="A75" s="391"/>
      <c r="B75" s="394"/>
      <c r="C75" s="155" t="s">
        <v>242</v>
      </c>
      <c r="D75" s="217">
        <v>10</v>
      </c>
      <c r="E75" s="217">
        <v>20</v>
      </c>
    </row>
    <row r="76" spans="1:10" ht="15.75" customHeight="1" x14ac:dyDescent="0.25">
      <c r="A76" s="391"/>
      <c r="B76" s="394"/>
      <c r="C76" s="155" t="s">
        <v>166</v>
      </c>
      <c r="D76" s="220">
        <v>6</v>
      </c>
      <c r="E76" s="220">
        <v>2</v>
      </c>
    </row>
    <row r="77" spans="1:10" s="86" customFormat="1" ht="15.75" customHeight="1" x14ac:dyDescent="0.25">
      <c r="A77" s="391"/>
      <c r="B77" s="394"/>
      <c r="C77" s="155" t="s">
        <v>167</v>
      </c>
      <c r="D77" s="217">
        <v>6</v>
      </c>
      <c r="E77" s="217">
        <v>5</v>
      </c>
      <c r="H77" s="75"/>
      <c r="I77" s="75"/>
      <c r="J77" s="75"/>
    </row>
    <row r="78" spans="1:10" s="86" customFormat="1" ht="15.75" customHeight="1" x14ac:dyDescent="0.25">
      <c r="A78" s="391"/>
      <c r="B78" s="394"/>
      <c r="C78" s="155" t="s">
        <v>168</v>
      </c>
      <c r="D78" s="217">
        <v>8</v>
      </c>
      <c r="E78" s="217">
        <v>8</v>
      </c>
      <c r="H78" s="75"/>
      <c r="I78" s="75"/>
      <c r="J78" s="75"/>
    </row>
    <row r="79" spans="1:10" ht="15.75" customHeight="1" x14ac:dyDescent="0.25">
      <c r="A79" s="391"/>
      <c r="B79" s="394"/>
      <c r="C79" s="155" t="s">
        <v>169</v>
      </c>
      <c r="D79" s="217">
        <v>7</v>
      </c>
      <c r="E79" s="217">
        <v>4</v>
      </c>
    </row>
    <row r="80" spans="1:10" ht="21" customHeight="1" x14ac:dyDescent="0.25">
      <c r="A80" s="391"/>
      <c r="B80" s="394"/>
      <c r="C80" s="155" t="s">
        <v>170</v>
      </c>
      <c r="D80" s="220">
        <v>6</v>
      </c>
      <c r="E80" s="220">
        <v>4</v>
      </c>
    </row>
    <row r="81" spans="1:5" ht="16.5" customHeight="1" thickBot="1" x14ac:dyDescent="0.3">
      <c r="A81" s="391"/>
      <c r="B81" s="395"/>
      <c r="C81" s="156" t="s">
        <v>171</v>
      </c>
      <c r="D81" s="179">
        <v>6</v>
      </c>
      <c r="E81" s="179">
        <v>5</v>
      </c>
    </row>
    <row r="82" spans="1:5" ht="15.75" customHeight="1" x14ac:dyDescent="0.25">
      <c r="A82" s="391"/>
      <c r="B82" s="393" t="s">
        <v>164</v>
      </c>
      <c r="C82" s="154" t="s">
        <v>243</v>
      </c>
      <c r="D82" s="180">
        <v>10</v>
      </c>
      <c r="E82" s="180">
        <v>10</v>
      </c>
    </row>
    <row r="83" spans="1:5" ht="16.5" customHeight="1" x14ac:dyDescent="0.25">
      <c r="A83" s="391"/>
      <c r="B83" s="394"/>
      <c r="C83" s="155" t="s">
        <v>172</v>
      </c>
      <c r="D83" s="217">
        <v>20</v>
      </c>
      <c r="E83" s="217">
        <v>16</v>
      </c>
    </row>
    <row r="84" spans="1:5" ht="16.5" thickBot="1" x14ac:dyDescent="0.3">
      <c r="A84" s="392"/>
      <c r="B84" s="395"/>
      <c r="C84" s="157" t="s">
        <v>173</v>
      </c>
      <c r="D84" s="179">
        <v>7</v>
      </c>
      <c r="E84" s="179">
        <v>14</v>
      </c>
    </row>
    <row r="85" spans="1:5" ht="15.75" x14ac:dyDescent="0.25">
      <c r="A85" s="396" t="s">
        <v>34</v>
      </c>
      <c r="B85" s="397"/>
      <c r="C85" s="398"/>
      <c r="D85" s="180">
        <f>SUM(D74:D84)</f>
        <v>100</v>
      </c>
      <c r="E85" s="180">
        <f>SUM(E74:E84)</f>
        <v>100</v>
      </c>
    </row>
    <row r="86" spans="1:5" ht="16.5" thickBot="1" x14ac:dyDescent="0.3">
      <c r="A86" s="399"/>
      <c r="B86" s="400"/>
      <c r="C86" s="400"/>
      <c r="D86" s="179">
        <f>D85*0.2</f>
        <v>20</v>
      </c>
      <c r="E86" s="179">
        <f>E85*0.2</f>
        <v>20</v>
      </c>
    </row>
    <row r="87" spans="1:5" ht="21.75" thickBot="1" x14ac:dyDescent="0.3">
      <c r="A87" s="9"/>
      <c r="B87" s="23"/>
      <c r="C87" s="93"/>
      <c r="D87" s="116"/>
      <c r="E87" s="116"/>
    </row>
    <row r="88" spans="1:5" ht="31.5" x14ac:dyDescent="0.25">
      <c r="A88" s="401" t="s">
        <v>89</v>
      </c>
      <c r="B88" s="404" t="s">
        <v>174</v>
      </c>
      <c r="C88" s="68" t="s">
        <v>175</v>
      </c>
      <c r="D88" s="184">
        <v>25</v>
      </c>
      <c r="E88" s="184">
        <v>25</v>
      </c>
    </row>
    <row r="89" spans="1:5" ht="48" thickBot="1" x14ac:dyDescent="0.3">
      <c r="A89" s="402"/>
      <c r="B89" s="405"/>
      <c r="C89" s="69" t="s">
        <v>176</v>
      </c>
      <c r="D89" s="185">
        <v>25</v>
      </c>
      <c r="E89" s="185">
        <v>25</v>
      </c>
    </row>
    <row r="90" spans="1:5" ht="48" thickBot="1" x14ac:dyDescent="0.3">
      <c r="A90" s="403"/>
      <c r="B90" s="30" t="s">
        <v>93</v>
      </c>
      <c r="C90" s="163" t="s">
        <v>177</v>
      </c>
      <c r="D90" s="118">
        <v>50</v>
      </c>
      <c r="E90" s="118">
        <v>50</v>
      </c>
    </row>
    <row r="91" spans="1:5" ht="15.75" x14ac:dyDescent="0.25">
      <c r="A91" s="380" t="s">
        <v>34</v>
      </c>
      <c r="B91" s="381"/>
      <c r="C91" s="381"/>
      <c r="D91" s="184">
        <f>SUM(D88:D90)</f>
        <v>100</v>
      </c>
      <c r="E91" s="184">
        <f>SUM(E88:E90)</f>
        <v>100</v>
      </c>
    </row>
    <row r="92" spans="1:5" ht="16.5" thickBot="1" x14ac:dyDescent="0.3">
      <c r="A92" s="382"/>
      <c r="B92" s="383"/>
      <c r="C92" s="383"/>
      <c r="D92" s="185">
        <f>D91*0.1</f>
        <v>10</v>
      </c>
      <c r="E92" s="185">
        <f>E91*0.1</f>
        <v>10</v>
      </c>
    </row>
    <row r="93" spans="1:5" ht="16.5" thickBot="1" x14ac:dyDescent="0.3">
      <c r="A93" s="46"/>
      <c r="B93" s="46"/>
      <c r="C93" s="46"/>
      <c r="D93" s="119"/>
      <c r="E93" s="119"/>
    </row>
    <row r="94" spans="1:5" ht="16.5" thickBot="1" x14ac:dyDescent="0.3">
      <c r="A94" s="46"/>
      <c r="B94" s="46"/>
      <c r="C94" s="46"/>
      <c r="D94" s="120">
        <f>D8+D25+D49+D72+D86</f>
        <v>100</v>
      </c>
      <c r="E94" s="121">
        <f>E8+E25+E49+E72+E86</f>
        <v>100</v>
      </c>
    </row>
  </sheetData>
  <mergeCells count="32">
    <mergeCell ref="A91:C92"/>
    <mergeCell ref="B82:B84"/>
    <mergeCell ref="B74:B81"/>
    <mergeCell ref="A88:A90"/>
    <mergeCell ref="B60:B61"/>
    <mergeCell ref="B62:B64"/>
    <mergeCell ref="B65:B70"/>
    <mergeCell ref="A51:A70"/>
    <mergeCell ref="A85:C86"/>
    <mergeCell ref="B88:B89"/>
    <mergeCell ref="A27:A47"/>
    <mergeCell ref="A2:A6"/>
    <mergeCell ref="B2:B4"/>
    <mergeCell ref="B5:B6"/>
    <mergeCell ref="B17:B18"/>
    <mergeCell ref="A7:C8"/>
    <mergeCell ref="A10:A23"/>
    <mergeCell ref="B10:B12"/>
    <mergeCell ref="B13:B16"/>
    <mergeCell ref="A24:C25"/>
    <mergeCell ref="B27:B33"/>
    <mergeCell ref="B34:B37"/>
    <mergeCell ref="B38:B41"/>
    <mergeCell ref="B42:B47"/>
    <mergeCell ref="B19:B20"/>
    <mergeCell ref="B21:B23"/>
    <mergeCell ref="A48:C49"/>
    <mergeCell ref="B57:B59"/>
    <mergeCell ref="A71:C72"/>
    <mergeCell ref="A74:A84"/>
    <mergeCell ref="B51:B53"/>
    <mergeCell ref="B54:B5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Not</vt:lpstr>
      <vt:lpstr>BİNA</vt:lpstr>
      <vt:lpstr>YERLEŞME</vt:lpstr>
      <vt:lpstr>bina puanlar</vt:lpstr>
      <vt:lpstr>yerleşme puanlar</vt:lpstr>
    </vt:vector>
  </TitlesOfParts>
  <Company>CSB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İlhan Tohumcu</dc:creator>
  <cp:lastModifiedBy>Berkehan Ülker</cp:lastModifiedBy>
  <dcterms:created xsi:type="dcterms:W3CDTF">2024-04-02T07:26:45Z</dcterms:created>
  <dcterms:modified xsi:type="dcterms:W3CDTF">2024-11-20T10:44:18Z</dcterms:modified>
</cp:coreProperties>
</file>