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atih.suer\Desktop\MÜTEAHHİTLİK 24.03.2021\"/>
    </mc:Choice>
  </mc:AlternateContent>
  <bookViews>
    <workbookView xWindow="0" yWindow="0" windowWidth="20490" windowHeight="7770"/>
  </bookViews>
  <sheets>
    <sheet name="2021" sheetId="4" r:id="rId1"/>
    <sheet name="İş ortaklığı" sheetId="5" r:id="rId2"/>
  </sheets>
  <definedNames>
    <definedName name="_xlnm.Print_Area" localSheetId="0">'2021'!$A$1:$S$62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2" i="5" l="1"/>
  <c r="C52" i="5"/>
  <c r="D48" i="5"/>
  <c r="C48" i="5"/>
  <c r="D44" i="5"/>
  <c r="C44" i="5"/>
  <c r="D40" i="5"/>
  <c r="C40" i="5"/>
  <c r="D36" i="5"/>
  <c r="C36" i="5"/>
  <c r="D32" i="5"/>
  <c r="C32" i="5"/>
  <c r="D28" i="5"/>
  <c r="C28" i="5"/>
  <c r="D24" i="5"/>
  <c r="C24" i="5"/>
  <c r="D20" i="5"/>
  <c r="C20" i="5"/>
  <c r="D16" i="5"/>
  <c r="E16" i="5"/>
  <c r="C16" i="5"/>
  <c r="D12" i="5"/>
  <c r="C12" i="5"/>
  <c r="D8" i="5"/>
  <c r="C8" i="5"/>
  <c r="D4" i="5"/>
  <c r="C4" i="5"/>
  <c r="D12" i="4"/>
  <c r="D16" i="4"/>
  <c r="D20" i="4"/>
  <c r="D24" i="4"/>
  <c r="D28" i="4"/>
  <c r="D8" i="4"/>
  <c r="D4" i="4"/>
  <c r="D36" i="4"/>
  <c r="D32" i="4"/>
  <c r="B4" i="4" l="1"/>
  <c r="A8" i="4" l="1"/>
  <c r="A12" i="4" s="1"/>
  <c r="A16" i="4" s="1"/>
  <c r="A20" i="4" s="1"/>
  <c r="A24" i="4" s="1"/>
  <c r="A28" i="4" s="1"/>
  <c r="A32" i="4" s="1"/>
  <c r="A36" i="4" s="1"/>
  <c r="A40" i="4" s="1"/>
  <c r="A44" i="4" s="1"/>
  <c r="A48" i="4" s="1"/>
  <c r="A52" i="4" s="1"/>
  <c r="A56" i="4" s="1"/>
  <c r="J52" i="4" l="1"/>
  <c r="J20" i="4"/>
  <c r="J48" i="4"/>
  <c r="J16" i="4"/>
  <c r="J28" i="4"/>
  <c r="J24" i="4"/>
  <c r="J44" i="4"/>
  <c r="J12" i="4"/>
  <c r="J40" i="4"/>
  <c r="J8" i="4"/>
  <c r="J36" i="4"/>
  <c r="J32" i="4"/>
  <c r="J4" i="4"/>
  <c r="L56" i="4" l="1"/>
  <c r="E4" i="4"/>
  <c r="E24" i="4"/>
  <c r="L24" i="4"/>
  <c r="L28" i="4"/>
  <c r="E28" i="4"/>
  <c r="E16" i="4"/>
  <c r="L16" i="4"/>
  <c r="P19" i="4" s="1"/>
  <c r="L36" i="4"/>
  <c r="E36" i="4"/>
  <c r="E20" i="4"/>
  <c r="L20" i="4"/>
  <c r="E40" i="4"/>
  <c r="L40" i="4"/>
  <c r="E52" i="4"/>
  <c r="L52" i="4"/>
  <c r="L32" i="4"/>
  <c r="E32" i="4"/>
  <c r="E48" i="4"/>
  <c r="L48" i="4"/>
  <c r="E8" i="4"/>
  <c r="L8" i="4"/>
  <c r="E12" i="4"/>
  <c r="L12" i="4"/>
  <c r="E44" i="4"/>
  <c r="L44" i="4"/>
  <c r="P26" i="4" l="1"/>
  <c r="P51" i="4"/>
  <c r="P11" i="4"/>
  <c r="P8" i="4"/>
  <c r="P10" i="4"/>
  <c r="P48" i="4"/>
  <c r="P18" i="4"/>
  <c r="P27" i="4"/>
  <c r="P24" i="4"/>
  <c r="P16" i="4"/>
  <c r="P49" i="4"/>
  <c r="P25" i="4"/>
  <c r="P50" i="4"/>
  <c r="P17" i="4"/>
  <c r="P9" i="4"/>
  <c r="P29" i="4"/>
  <c r="P31" i="4"/>
  <c r="P30" i="4"/>
  <c r="P28" i="4"/>
  <c r="P38" i="4"/>
  <c r="P37" i="4"/>
  <c r="P36" i="4"/>
  <c r="P39" i="4"/>
  <c r="P21" i="4"/>
  <c r="P20" i="4"/>
  <c r="P23" i="4"/>
  <c r="P22" i="4"/>
  <c r="P13" i="4"/>
  <c r="P14" i="4"/>
  <c r="P12" i="4"/>
  <c r="P15" i="4"/>
  <c r="P54" i="4"/>
  <c r="P53" i="4"/>
  <c r="P55" i="4"/>
  <c r="P52" i="4"/>
  <c r="P57" i="4"/>
  <c r="P59" i="4"/>
  <c r="P58" i="4"/>
  <c r="P56" i="4"/>
  <c r="P44" i="4"/>
  <c r="P45" i="4"/>
  <c r="P46" i="4"/>
  <c r="P47" i="4"/>
  <c r="P33" i="4"/>
  <c r="P32" i="4"/>
  <c r="P35" i="4"/>
  <c r="P34" i="4"/>
  <c r="P40" i="4"/>
  <c r="P43" i="4"/>
  <c r="P42" i="4"/>
  <c r="P41" i="4"/>
</calcChain>
</file>

<file path=xl/sharedStrings.xml><?xml version="1.0" encoding="utf-8"?>
<sst xmlns="http://schemas.openxmlformats.org/spreadsheetml/2006/main" count="233" uniqueCount="79">
  <si>
    <t>GRUP</t>
  </si>
  <si>
    <t>GEREKEN İŞ DENEYİM TUTARI</t>
  </si>
  <si>
    <t>A</t>
  </si>
  <si>
    <t>B</t>
  </si>
  <si>
    <t>C</t>
  </si>
  <si>
    <t>D</t>
  </si>
  <si>
    <t>E</t>
  </si>
  <si>
    <t>F</t>
  </si>
  <si>
    <t>G</t>
  </si>
  <si>
    <t>H</t>
  </si>
  <si>
    <t>ÜSTLENİLECEK İŞ TUTARI</t>
  </si>
  <si>
    <t>SINIRSIZ</t>
  </si>
  <si>
    <t>YAMBİS ÜCRETİ</t>
  </si>
  <si>
    <t>ÜSTLENECEK İŞ TUTARI ORANI</t>
  </si>
  <si>
    <t>İŞ DENEYİM</t>
  </si>
  <si>
    <t xml:space="preserve">0,00-21,50 m </t>
  </si>
  <si>
    <t>51,50 &lt; m</t>
  </si>
  <si>
    <t>21,50 -30,50 m</t>
  </si>
  <si>
    <t>30,50-51,50 m</t>
  </si>
  <si>
    <t>-</t>
  </si>
  <si>
    <t>YAPILABİLECEK M2' LER</t>
  </si>
  <si>
    <t>S.
NO</t>
  </si>
  <si>
    <t xml:space="preserve">3-B </t>
  </si>
  <si>
    <t xml:space="preserve">4-A </t>
  </si>
  <si>
    <t xml:space="preserve">4-C </t>
  </si>
  <si>
    <t xml:space="preserve">5-A </t>
  </si>
  <si>
    <t>YAPIM GRUPLARI BİRİM FİYATI - 2020</t>
  </si>
  <si>
    <t>B1</t>
  </si>
  <si>
    <t>C1</t>
  </si>
  <si>
    <t>D1</t>
  </si>
  <si>
    <t>E1</t>
  </si>
  <si>
    <t>F1</t>
  </si>
  <si>
    <t>G1</t>
  </si>
  <si>
    <t>7/5 KATI</t>
  </si>
  <si>
    <t>6/5 KATI</t>
  </si>
  <si>
    <t>5/6 KATI</t>
  </si>
  <si>
    <t>2/3 KATI</t>
  </si>
  <si>
    <t>1/2 KATI</t>
  </si>
  <si>
    <t>1/3 KATI</t>
  </si>
  <si>
    <t>1/5 KATI</t>
  </si>
  <si>
    <t>1/10 KATI</t>
  </si>
  <si>
    <t>17/200 KATI</t>
  </si>
  <si>
    <t>7/100 KATI</t>
  </si>
  <si>
    <t>1/20 KATI</t>
  </si>
  <si>
    <t>4/3 KATI</t>
  </si>
  <si>
    <t>YAPI SINIR DEĞERİNE ORANI</t>
  </si>
  <si>
    <t>YAPI SINIR DEĞERİ</t>
  </si>
  <si>
    <t>G1' İN 5/6 KATI</t>
  </si>
  <si>
    <t>EKONOMİK VE MALİ YETERLİLİKLER</t>
  </si>
  <si>
    <t>İŞ HACMİ</t>
  </si>
  <si>
    <t>BANKA REFERANS MEKTUBU</t>
  </si>
  <si>
    <t>GRUP KAYIT ÜCRETİ</t>
  </si>
  <si>
    <t>GRUP TAYİN/İTİRAZ/YENİLEME/AKTİV. ÜCRETİ</t>
  </si>
  <si>
    <t>Diğer ortaklar</t>
  </si>
  <si>
    <t>A GRUBU</t>
  </si>
  <si>
    <t>B GRUBU</t>
  </si>
  <si>
    <t>C GRUBU</t>
  </si>
  <si>
    <t>B1 GRUBU</t>
  </si>
  <si>
    <t>C1 GRUBU</t>
  </si>
  <si>
    <t>D GRUBU</t>
  </si>
  <si>
    <t>D1 GRUBU</t>
  </si>
  <si>
    <t>E GRUBU</t>
  </si>
  <si>
    <t>E1 GRUBU</t>
  </si>
  <si>
    <t>F GRUBU</t>
  </si>
  <si>
    <t>F1 GRUBU</t>
  </si>
  <si>
    <t>G GRUBU</t>
  </si>
  <si>
    <t>H GRUBU</t>
  </si>
  <si>
    <t>İŞ ORTAKLIKLARINDA GEREKEN İŞ DENEYİM TUTARI</t>
  </si>
  <si>
    <t xml:space="preserve">Pilot/koordinatör  ortak </t>
  </si>
  <si>
    <t>G1 GRUBU</t>
  </si>
  <si>
    <t>R1  &gt; 0.5    (Cari oran)</t>
  </si>
  <si>
    <t>R2 &gt; 0.1      (Özkaynak oranı)</t>
  </si>
  <si>
    <t>R3 &lt; 0.75     (Kısa vadeli banka borçları)</t>
  </si>
  <si>
    <t>NOT:Yukarıdaki veriler Müdürlüğümüzce bilgilendirme amacıyla hazırlanmış olup başvuru tarihi itibariyle mevzuattaki değişikliklerin yapı mütehhitlerince  göz önünde bulundurularak takibi ve kontrolü gerekmektedir.</t>
  </si>
  <si>
    <t>HARÇLAR (2021)</t>
  </si>
  <si>
    <t>GEREKLİ GRUP</t>
  </si>
  <si>
    <t>Diğer ortaklar (en az)</t>
  </si>
  <si>
    <t xml:space="preserve">Pilot/koordinatör  ortak      (en az) </t>
  </si>
  <si>
    <t>MÜTEAHHİTLİK SINIFLANDIRMA KRİTERLERİ TABLOSU (2021)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</si>
</sst>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#,##0\ &quot;TL&quot;"/>
    <numFmt numFmtId="165" formatCode="0\ &quot; KATI&quot;"/>
    <numFmt numFmtId="166" formatCode="#,#00\ &quot;m2&quot;"/>
    <numFmt numFmtId="167" formatCode="0.00\ &quot; KATI&quot;"/>
    <numFmt numFmtId="168" formatCode="#,#00\ &quot;TL/m2&quot;"/>
    <numFmt numFmtId="169" formatCode="#,##0.00\ &quot;TL&quot;"/>
    <numFmt numFmtId="170" formatCode="&quot;₺&quot;#,##0.00"/>
  </numFmts>
  <fonts count="10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sz val="20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b/>
      <sz val="8"/>
      <color theme="1"/>
      <name val="Calibri"/>
      <family val="2"/>
      <charset val="162"/>
      <scheme val="minor"/>
    </font>
    <font>
      <sz val="8"/>
      <color theme="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DAA3A2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/>
    </xf>
    <xf numFmtId="168" fontId="8" fillId="3" borderId="2" xfId="0" applyNumberFormat="1" applyFont="1" applyFill="1" applyBorder="1" applyAlignment="1">
      <alignment vertical="center"/>
    </xf>
    <xf numFmtId="0" fontId="7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168" fontId="8" fillId="3" borderId="3" xfId="0" applyNumberFormat="1" applyFont="1" applyFill="1" applyBorder="1" applyAlignment="1">
      <alignment vertical="center"/>
    </xf>
    <xf numFmtId="0" fontId="7" fillId="3" borderId="3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168" fontId="8" fillId="3" borderId="5" xfId="0" applyNumberFormat="1" applyFont="1" applyFill="1" applyBorder="1" applyAlignment="1">
      <alignment vertical="center"/>
    </xf>
    <xf numFmtId="0" fontId="8" fillId="3" borderId="4" xfId="0" applyFont="1" applyFill="1" applyBorder="1" applyAlignment="1">
      <alignment horizontal="center" vertical="center"/>
    </xf>
    <xf numFmtId="168" fontId="8" fillId="3" borderId="4" xfId="0" applyNumberFormat="1" applyFont="1" applyFill="1" applyBorder="1" applyAlignment="1">
      <alignment vertical="center"/>
    </xf>
    <xf numFmtId="0" fontId="7" fillId="3" borderId="4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166" fontId="7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166" fontId="7" fillId="2" borderId="3" xfId="0" applyNumberFormat="1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166" fontId="7" fillId="2" borderId="5" xfId="0" applyNumberFormat="1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166" fontId="7" fillId="2" borderId="4" xfId="0" applyNumberFormat="1" applyFont="1" applyFill="1" applyBorder="1" applyAlignment="1">
      <alignment horizontal="center" vertical="center"/>
    </xf>
    <xf numFmtId="166" fontId="7" fillId="3" borderId="2" xfId="0" applyNumberFormat="1" applyFont="1" applyFill="1" applyBorder="1" applyAlignment="1">
      <alignment horizontal="center" vertical="center"/>
    </xf>
    <xf numFmtId="166" fontId="7" fillId="3" borderId="3" xfId="0" applyNumberFormat="1" applyFont="1" applyFill="1" applyBorder="1" applyAlignment="1">
      <alignment horizontal="center" vertical="center"/>
    </xf>
    <xf numFmtId="166" fontId="7" fillId="3" borderId="5" xfId="0" applyNumberFormat="1" applyFont="1" applyFill="1" applyBorder="1" applyAlignment="1">
      <alignment horizontal="center" vertical="center"/>
    </xf>
    <xf numFmtId="166" fontId="7" fillId="3" borderId="4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8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3" fillId="0" borderId="0" xfId="0" applyFont="1" applyBorder="1" applyAlignment="1">
      <alignment vertical="center"/>
    </xf>
    <xf numFmtId="9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170" fontId="0" fillId="0" borderId="0" xfId="0" applyNumberFormat="1"/>
    <xf numFmtId="169" fontId="1" fillId="2" borderId="1" xfId="0" applyNumberFormat="1" applyFont="1" applyFill="1" applyBorder="1" applyAlignment="1">
      <alignment horizontal="center" vertical="center"/>
    </xf>
    <xf numFmtId="167" fontId="0" fillId="2" borderId="1" xfId="0" quotePrefix="1" applyNumberFormat="1" applyFill="1" applyBorder="1" applyAlignment="1">
      <alignment horizontal="center" vertical="center" wrapText="1"/>
    </xf>
    <xf numFmtId="167" fontId="0" fillId="2" borderId="1" xfId="0" applyNumberForma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/>
    </xf>
    <xf numFmtId="49" fontId="9" fillId="0" borderId="15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vertical="center" wrapText="1"/>
    </xf>
    <xf numFmtId="0" fontId="0" fillId="0" borderId="0" xfId="0" applyAlignment="1">
      <alignment vertical="center" wrapText="1"/>
    </xf>
    <xf numFmtId="49" fontId="0" fillId="0" borderId="15" xfId="0" applyNumberForma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169" fontId="1" fillId="3" borderId="1" xfId="0" applyNumberFormat="1" applyFont="1" applyFill="1" applyBorder="1" applyAlignment="1">
      <alignment horizontal="center" vertical="center"/>
    </xf>
    <xf numFmtId="2" fontId="0" fillId="2" borderId="6" xfId="0" applyNumberFormat="1" applyFill="1" applyBorder="1" applyAlignment="1">
      <alignment horizontal="center" vertical="center" wrapText="1"/>
    </xf>
    <xf numFmtId="2" fontId="0" fillId="2" borderId="7" xfId="0" applyNumberFormat="1" applyFill="1" applyBorder="1" applyAlignment="1">
      <alignment horizontal="center" vertical="center" wrapText="1"/>
    </xf>
    <xf numFmtId="2" fontId="0" fillId="2" borderId="8" xfId="0" applyNumberForma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2" fontId="0" fillId="3" borderId="6" xfId="0" applyNumberFormat="1" applyFill="1" applyBorder="1" applyAlignment="1">
      <alignment horizontal="center" vertical="center" wrapText="1"/>
    </xf>
    <xf numFmtId="2" fontId="0" fillId="3" borderId="7" xfId="0" applyNumberFormat="1" applyFill="1" applyBorder="1" applyAlignment="1">
      <alignment horizontal="center" vertical="center" wrapText="1"/>
    </xf>
    <xf numFmtId="2" fontId="0" fillId="3" borderId="8" xfId="0" applyNumberFormat="1" applyFill="1" applyBorder="1" applyAlignment="1">
      <alignment horizontal="center" vertical="center" wrapText="1"/>
    </xf>
    <xf numFmtId="165" fontId="0" fillId="3" borderId="6" xfId="0" applyNumberFormat="1" applyFill="1" applyBorder="1" applyAlignment="1">
      <alignment horizontal="center" vertical="center" wrapText="1"/>
    </xf>
    <xf numFmtId="165" fontId="0" fillId="3" borderId="7" xfId="0" applyNumberFormat="1" applyFill="1" applyBorder="1" applyAlignment="1">
      <alignment horizontal="center" vertical="center" wrapText="1"/>
    </xf>
    <xf numFmtId="165" fontId="0" fillId="3" borderId="8" xfId="0" applyNumberFormat="1" applyFill="1" applyBorder="1" applyAlignment="1">
      <alignment horizontal="center" vertical="center" wrapText="1"/>
    </xf>
    <xf numFmtId="169" fontId="4" fillId="2" borderId="6" xfId="0" applyNumberFormat="1" applyFont="1" applyFill="1" applyBorder="1" applyAlignment="1">
      <alignment horizontal="center" vertical="center"/>
    </xf>
    <xf numFmtId="169" fontId="4" fillId="2" borderId="7" xfId="0" applyNumberFormat="1" applyFont="1" applyFill="1" applyBorder="1" applyAlignment="1">
      <alignment horizontal="center" vertical="center"/>
    </xf>
    <xf numFmtId="169" fontId="4" fillId="2" borderId="8" xfId="0" applyNumberFormat="1" applyFont="1" applyFill="1" applyBorder="1" applyAlignment="1">
      <alignment horizontal="center" vertical="center"/>
    </xf>
    <xf numFmtId="169" fontId="4" fillId="3" borderId="6" xfId="0" applyNumberFormat="1" applyFont="1" applyFill="1" applyBorder="1" applyAlignment="1">
      <alignment horizontal="right" vertical="center"/>
    </xf>
    <xf numFmtId="169" fontId="4" fillId="3" borderId="7" xfId="0" applyNumberFormat="1" applyFont="1" applyFill="1" applyBorder="1" applyAlignment="1">
      <alignment horizontal="right" vertical="center"/>
    </xf>
    <xf numFmtId="169" fontId="4" fillId="3" borderId="8" xfId="0" applyNumberFormat="1" applyFont="1" applyFill="1" applyBorder="1" applyAlignment="1">
      <alignment horizontal="right" vertical="center"/>
    </xf>
    <xf numFmtId="169" fontId="4" fillId="2" borderId="6" xfId="0" applyNumberFormat="1" applyFont="1" applyFill="1" applyBorder="1" applyAlignment="1">
      <alignment horizontal="right" vertical="center"/>
    </xf>
    <xf numFmtId="169" fontId="4" fillId="2" borderId="7" xfId="0" applyNumberFormat="1" applyFont="1" applyFill="1" applyBorder="1" applyAlignment="1">
      <alignment horizontal="right" vertical="center"/>
    </xf>
    <xf numFmtId="169" fontId="4" fillId="2" borderId="8" xfId="0" applyNumberFormat="1" applyFont="1" applyFill="1" applyBorder="1" applyAlignment="1">
      <alignment horizontal="right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67" fontId="0" fillId="3" borderId="1" xfId="0" quotePrefix="1" applyNumberFormat="1" applyFill="1" applyBorder="1" applyAlignment="1">
      <alignment horizontal="center" vertical="center" wrapText="1"/>
    </xf>
    <xf numFmtId="167" fontId="0" fillId="3" borderId="1" xfId="0" applyNumberForma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165" fontId="0" fillId="3" borderId="6" xfId="0" applyNumberFormat="1" applyFill="1" applyBorder="1" applyAlignment="1">
      <alignment horizontal="center" vertical="center"/>
    </xf>
    <xf numFmtId="165" fontId="0" fillId="3" borderId="7" xfId="0" applyNumberFormat="1" applyFill="1" applyBorder="1" applyAlignment="1">
      <alignment horizontal="center" vertical="center"/>
    </xf>
    <xf numFmtId="165" fontId="0" fillId="3" borderId="8" xfId="0" applyNumberForma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169" fontId="1" fillId="3" borderId="6" xfId="0" applyNumberFormat="1" applyFont="1" applyFill="1" applyBorder="1" applyAlignment="1">
      <alignment horizontal="center" vertical="center"/>
    </xf>
    <xf numFmtId="169" fontId="1" fillId="3" borderId="7" xfId="0" applyNumberFormat="1" applyFont="1" applyFill="1" applyBorder="1" applyAlignment="1">
      <alignment horizontal="center" vertical="center"/>
    </xf>
    <xf numFmtId="169" fontId="1" fillId="3" borderId="8" xfId="0" applyNumberFormat="1" applyFont="1" applyFill="1" applyBorder="1" applyAlignment="1">
      <alignment horizontal="center" vertical="center"/>
    </xf>
    <xf numFmtId="164" fontId="4" fillId="3" borderId="6" xfId="0" applyNumberFormat="1" applyFont="1" applyFill="1" applyBorder="1" applyAlignment="1">
      <alignment horizontal="center" vertical="center"/>
    </xf>
    <xf numFmtId="164" fontId="4" fillId="3" borderId="7" xfId="0" applyNumberFormat="1" applyFont="1" applyFill="1" applyBorder="1" applyAlignment="1">
      <alignment horizontal="center" vertical="center"/>
    </xf>
    <xf numFmtId="164" fontId="4" fillId="3" borderId="8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65" fontId="0" fillId="2" borderId="1" xfId="0" applyNumberForma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65" fontId="0" fillId="3" borderId="1" xfId="0" applyNumberFormat="1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164" fontId="4" fillId="3" borderId="1" xfId="0" applyNumberFormat="1" applyFont="1" applyFill="1" applyBorder="1" applyAlignment="1">
      <alignment horizontal="center" vertical="center"/>
    </xf>
    <xf numFmtId="167" fontId="0" fillId="2" borderId="1" xfId="0" applyNumberFormat="1" applyFill="1" applyBorder="1" applyAlignment="1">
      <alignment horizontal="center" vertical="center"/>
    </xf>
    <xf numFmtId="164" fontId="5" fillId="3" borderId="6" xfId="0" applyNumberFormat="1" applyFont="1" applyFill="1" applyBorder="1" applyAlignment="1">
      <alignment horizontal="center" vertical="center" textRotation="90"/>
    </xf>
    <xf numFmtId="164" fontId="5" fillId="3" borderId="7" xfId="0" applyNumberFormat="1" applyFont="1" applyFill="1" applyBorder="1" applyAlignment="1">
      <alignment horizontal="center" vertical="center" textRotation="90"/>
    </xf>
    <xf numFmtId="164" fontId="5" fillId="3" borderId="8" xfId="0" applyNumberFormat="1" applyFont="1" applyFill="1" applyBorder="1" applyAlignment="1">
      <alignment horizontal="center" vertical="center" textRotation="90"/>
    </xf>
    <xf numFmtId="165" fontId="0" fillId="2" borderId="1" xfId="0" applyNumberFormat="1" applyFill="1" applyBorder="1" applyAlignment="1">
      <alignment horizontal="center" vertical="center" wrapText="1"/>
    </xf>
    <xf numFmtId="167" fontId="0" fillId="3" borderId="1" xfId="0" applyNumberFormat="1" applyFill="1" applyBorder="1" applyAlignment="1">
      <alignment horizontal="center" vertical="center"/>
    </xf>
    <xf numFmtId="169" fontId="4" fillId="3" borderId="6" xfId="0" applyNumberFormat="1" applyFont="1" applyFill="1" applyBorder="1" applyAlignment="1">
      <alignment horizontal="center" vertical="center"/>
    </xf>
    <xf numFmtId="169" fontId="4" fillId="3" borderId="7" xfId="0" applyNumberFormat="1" applyFont="1" applyFill="1" applyBorder="1" applyAlignment="1">
      <alignment horizontal="center" vertical="center"/>
    </xf>
    <xf numFmtId="169" fontId="4" fillId="3" borderId="8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9" fontId="0" fillId="0" borderId="1" xfId="0" applyNumberFormat="1" applyFont="1" applyFill="1" applyBorder="1" applyAlignment="1">
      <alignment horizontal="center" vertical="center"/>
    </xf>
    <xf numFmtId="9" fontId="1" fillId="0" borderId="1" xfId="0" applyNumberFormat="1" applyFont="1" applyBorder="1" applyAlignment="1">
      <alignment horizontal="center" vertical="center"/>
    </xf>
    <xf numFmtId="169" fontId="0" fillId="0" borderId="16" xfId="0" applyNumberFormat="1" applyFont="1" applyFill="1" applyBorder="1" applyAlignment="1">
      <alignment horizontal="center" vertical="center"/>
    </xf>
    <xf numFmtId="169" fontId="0" fillId="0" borderId="17" xfId="0" applyNumberFormat="1" applyFont="1" applyFill="1" applyBorder="1" applyAlignment="1">
      <alignment horizontal="center" vertical="center"/>
    </xf>
    <xf numFmtId="169" fontId="0" fillId="0" borderId="18" xfId="0" applyNumberFormat="1" applyFont="1" applyFill="1" applyBorder="1" applyAlignment="1">
      <alignment horizontal="center" vertical="center"/>
    </xf>
    <xf numFmtId="169" fontId="0" fillId="0" borderId="19" xfId="0" applyNumberFormat="1" applyFont="1" applyFill="1" applyBorder="1" applyAlignment="1">
      <alignment horizontal="center" vertical="center"/>
    </xf>
    <xf numFmtId="169" fontId="0" fillId="0" borderId="20" xfId="0" applyNumberFormat="1" applyFont="1" applyFill="1" applyBorder="1" applyAlignment="1">
      <alignment horizontal="center" vertical="center"/>
    </xf>
    <xf numFmtId="169" fontId="0" fillId="0" borderId="2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AA3A2"/>
      <color rgb="FF66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2"/>
  <sheetViews>
    <sheetView tabSelected="1" view="pageBreakPreview" zoomScale="85" zoomScaleNormal="100" zoomScaleSheetLayoutView="85" workbookViewId="0">
      <selection activeCell="E28" sqref="E28:E31"/>
    </sheetView>
  </sheetViews>
  <sheetFormatPr defaultRowHeight="15" x14ac:dyDescent="0.25"/>
  <cols>
    <col min="1" max="1" width="3.7109375" style="2" customWidth="1"/>
    <col min="2" max="2" width="6.7109375" style="1" customWidth="1"/>
    <col min="3" max="3" width="6.7109375" style="2" customWidth="1"/>
    <col min="4" max="4" width="14.42578125" style="2" bestFit="1" customWidth="1"/>
    <col min="5" max="5" width="13.42578125" style="2" bestFit="1" customWidth="1"/>
    <col min="6" max="8" width="6.85546875" style="1" bestFit="1" customWidth="1"/>
    <col min="9" max="9" width="18.28515625" style="1" customWidth="1"/>
    <col min="10" max="10" width="20" style="1" bestFit="1" customWidth="1"/>
    <col min="11" max="11" width="10.5703125" style="1" customWidth="1"/>
    <col min="12" max="12" width="16.140625" style="1" bestFit="1" customWidth="1"/>
    <col min="13" max="13" width="4.7109375" style="1" customWidth="1"/>
    <col min="14" max="14" width="11.7109375" style="1" hidden="1" customWidth="1"/>
    <col min="15" max="15" width="9.7109375" style="1" customWidth="1"/>
    <col min="16" max="16" width="11.7109375" style="1" customWidth="1"/>
    <col min="17" max="17" width="7.7109375" style="1" customWidth="1"/>
    <col min="18" max="18" width="9.85546875" style="1" bestFit="1" customWidth="1"/>
    <col min="19" max="19" width="9.7109375" style="1" bestFit="1" customWidth="1"/>
    <col min="20" max="16384" width="9.140625" style="1"/>
  </cols>
  <sheetData>
    <row r="1" spans="1:22" s="27" customFormat="1" ht="15" customHeight="1" thickBot="1" x14ac:dyDescent="0.3">
      <c r="A1" s="42" t="s">
        <v>78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</row>
    <row r="2" spans="1:22" s="27" customFormat="1" ht="15" customHeight="1" thickBot="1" x14ac:dyDescent="0.3">
      <c r="A2" s="68"/>
      <c r="B2" s="69"/>
      <c r="C2" s="70"/>
      <c r="D2" s="47" t="s">
        <v>48</v>
      </c>
      <c r="E2" s="49"/>
      <c r="F2" s="49"/>
      <c r="G2" s="49"/>
      <c r="H2" s="48"/>
      <c r="I2" s="47" t="s">
        <v>14</v>
      </c>
      <c r="J2" s="48"/>
      <c r="K2" s="65" t="s">
        <v>10</v>
      </c>
      <c r="L2" s="66"/>
      <c r="M2" s="66"/>
      <c r="N2" s="66"/>
      <c r="O2" s="66"/>
      <c r="P2" s="67"/>
      <c r="Q2" s="65" t="s">
        <v>74</v>
      </c>
      <c r="R2" s="66"/>
      <c r="S2" s="67"/>
      <c r="T2" s="42"/>
      <c r="U2" s="42"/>
      <c r="V2" s="30"/>
    </row>
    <row r="3" spans="1:22" s="3" customFormat="1" ht="67.5" x14ac:dyDescent="0.25">
      <c r="A3" s="28" t="s">
        <v>21</v>
      </c>
      <c r="B3" s="28" t="s">
        <v>46</v>
      </c>
      <c r="C3" s="28" t="s">
        <v>0</v>
      </c>
      <c r="D3" s="28" t="s">
        <v>49</v>
      </c>
      <c r="E3" s="28" t="s">
        <v>50</v>
      </c>
      <c r="F3" s="28" t="s">
        <v>70</v>
      </c>
      <c r="G3" s="28" t="s">
        <v>71</v>
      </c>
      <c r="H3" s="28" t="s">
        <v>72</v>
      </c>
      <c r="I3" s="28" t="s">
        <v>45</v>
      </c>
      <c r="J3" s="28" t="s">
        <v>1</v>
      </c>
      <c r="K3" s="28" t="s">
        <v>13</v>
      </c>
      <c r="L3" s="28" t="s">
        <v>10</v>
      </c>
      <c r="M3" s="73" t="s">
        <v>26</v>
      </c>
      <c r="N3" s="73"/>
      <c r="O3" s="73"/>
      <c r="P3" s="28" t="s">
        <v>20</v>
      </c>
      <c r="Q3" s="28" t="s">
        <v>12</v>
      </c>
      <c r="R3" s="28" t="s">
        <v>52</v>
      </c>
      <c r="S3" s="28" t="s">
        <v>51</v>
      </c>
    </row>
    <row r="4" spans="1:22" ht="9.6" customHeight="1" x14ac:dyDescent="0.25">
      <c r="A4" s="74">
        <v>1</v>
      </c>
      <c r="B4" s="103">
        <f>+((1360+1800+1920+2300+2480)/5*45000)</f>
        <v>88740000</v>
      </c>
      <c r="C4" s="75" t="s">
        <v>2</v>
      </c>
      <c r="D4" s="59">
        <f>J4*0.15</f>
        <v>26622000</v>
      </c>
      <c r="E4" s="59">
        <f>J4*0.05</f>
        <v>8874000</v>
      </c>
      <c r="F4" s="50">
        <v>0.5</v>
      </c>
      <c r="G4" s="50">
        <v>0.1</v>
      </c>
      <c r="H4" s="50">
        <v>0.75</v>
      </c>
      <c r="I4" s="53">
        <v>2</v>
      </c>
      <c r="J4" s="84">
        <f>B4*I4</f>
        <v>177480000</v>
      </c>
      <c r="K4" s="78" t="s">
        <v>11</v>
      </c>
      <c r="L4" s="81" t="s">
        <v>11</v>
      </c>
      <c r="M4" s="4" t="s">
        <v>22</v>
      </c>
      <c r="N4" s="4" t="s">
        <v>15</v>
      </c>
      <c r="O4" s="5">
        <v>1800</v>
      </c>
      <c r="P4" s="6" t="s">
        <v>11</v>
      </c>
      <c r="Q4" s="87">
        <v>2900</v>
      </c>
      <c r="R4" s="87">
        <v>7500</v>
      </c>
      <c r="S4" s="87">
        <v>30000</v>
      </c>
    </row>
    <row r="5" spans="1:22" ht="9.6" customHeight="1" x14ac:dyDescent="0.25">
      <c r="A5" s="74"/>
      <c r="B5" s="104"/>
      <c r="C5" s="76"/>
      <c r="D5" s="60"/>
      <c r="E5" s="60"/>
      <c r="F5" s="51"/>
      <c r="G5" s="51"/>
      <c r="H5" s="51"/>
      <c r="I5" s="54"/>
      <c r="J5" s="85"/>
      <c r="K5" s="79"/>
      <c r="L5" s="82"/>
      <c r="M5" s="7" t="s">
        <v>23</v>
      </c>
      <c r="N5" s="7" t="s">
        <v>17</v>
      </c>
      <c r="O5" s="8">
        <v>1920</v>
      </c>
      <c r="P5" s="9" t="s">
        <v>11</v>
      </c>
      <c r="Q5" s="88"/>
      <c r="R5" s="88"/>
      <c r="S5" s="88"/>
    </row>
    <row r="6" spans="1:22" ht="9.6" customHeight="1" x14ac:dyDescent="0.25">
      <c r="A6" s="74"/>
      <c r="B6" s="104"/>
      <c r="C6" s="76"/>
      <c r="D6" s="60"/>
      <c r="E6" s="60"/>
      <c r="F6" s="51"/>
      <c r="G6" s="51"/>
      <c r="H6" s="51"/>
      <c r="I6" s="54"/>
      <c r="J6" s="85"/>
      <c r="K6" s="79"/>
      <c r="L6" s="82"/>
      <c r="M6" s="7" t="s">
        <v>24</v>
      </c>
      <c r="N6" s="10" t="s">
        <v>18</v>
      </c>
      <c r="O6" s="11">
        <v>2480</v>
      </c>
      <c r="P6" s="9" t="s">
        <v>11</v>
      </c>
      <c r="Q6" s="88"/>
      <c r="R6" s="88"/>
      <c r="S6" s="88"/>
    </row>
    <row r="7" spans="1:22" ht="9.6" customHeight="1" x14ac:dyDescent="0.25">
      <c r="A7" s="74"/>
      <c r="B7" s="104"/>
      <c r="C7" s="77"/>
      <c r="D7" s="61"/>
      <c r="E7" s="61"/>
      <c r="F7" s="52"/>
      <c r="G7" s="52"/>
      <c r="H7" s="52"/>
      <c r="I7" s="55"/>
      <c r="J7" s="86"/>
      <c r="K7" s="80"/>
      <c r="L7" s="83"/>
      <c r="M7" s="12" t="s">
        <v>25</v>
      </c>
      <c r="N7" s="12" t="s">
        <v>16</v>
      </c>
      <c r="O7" s="13">
        <v>2970</v>
      </c>
      <c r="P7" s="14" t="s">
        <v>11</v>
      </c>
      <c r="Q7" s="89"/>
      <c r="R7" s="89"/>
      <c r="S7" s="89"/>
    </row>
    <row r="8" spans="1:22" ht="9.6" customHeight="1" x14ac:dyDescent="0.25">
      <c r="A8" s="90">
        <f>+A4+1</f>
        <v>2</v>
      </c>
      <c r="B8" s="104"/>
      <c r="C8" s="91" t="s">
        <v>3</v>
      </c>
      <c r="D8" s="62">
        <f>J8*0.15</f>
        <v>18635400</v>
      </c>
      <c r="E8" s="62">
        <f t="shared" ref="E8" si="0">J8*0.05</f>
        <v>6211800</v>
      </c>
      <c r="F8" s="44">
        <v>0.5</v>
      </c>
      <c r="G8" s="44">
        <v>0.1</v>
      </c>
      <c r="H8" s="44">
        <v>0.75</v>
      </c>
      <c r="I8" s="35" t="s">
        <v>33</v>
      </c>
      <c r="J8" s="34">
        <f>+$B$4*7/5</f>
        <v>124236000</v>
      </c>
      <c r="K8" s="92">
        <v>1</v>
      </c>
      <c r="L8" s="34">
        <f>+K8*J8</f>
        <v>124236000</v>
      </c>
      <c r="M8" s="15" t="s">
        <v>22</v>
      </c>
      <c r="N8" s="15" t="s">
        <v>15</v>
      </c>
      <c r="O8" s="5">
        <v>1800</v>
      </c>
      <c r="P8" s="16">
        <f>+L8/O8</f>
        <v>69020</v>
      </c>
      <c r="Q8" s="37">
        <v>2900</v>
      </c>
      <c r="R8" s="37">
        <v>5750</v>
      </c>
      <c r="S8" s="37">
        <v>22600</v>
      </c>
    </row>
    <row r="9" spans="1:22" ht="9.6" customHeight="1" x14ac:dyDescent="0.25">
      <c r="A9" s="90"/>
      <c r="B9" s="104"/>
      <c r="C9" s="91"/>
      <c r="D9" s="63"/>
      <c r="E9" s="63"/>
      <c r="F9" s="45"/>
      <c r="G9" s="45"/>
      <c r="H9" s="45"/>
      <c r="I9" s="36"/>
      <c r="J9" s="34"/>
      <c r="K9" s="92"/>
      <c r="L9" s="34"/>
      <c r="M9" s="17" t="s">
        <v>23</v>
      </c>
      <c r="N9" s="17" t="s">
        <v>17</v>
      </c>
      <c r="O9" s="8">
        <v>1920</v>
      </c>
      <c r="P9" s="18">
        <f>+L8/O9</f>
        <v>64706.25</v>
      </c>
      <c r="Q9" s="37"/>
      <c r="R9" s="37"/>
      <c r="S9" s="37"/>
    </row>
    <row r="10" spans="1:22" ht="9.6" customHeight="1" x14ac:dyDescent="0.25">
      <c r="A10" s="90"/>
      <c r="B10" s="104"/>
      <c r="C10" s="91"/>
      <c r="D10" s="63"/>
      <c r="E10" s="63"/>
      <c r="F10" s="45"/>
      <c r="G10" s="45"/>
      <c r="H10" s="45"/>
      <c r="I10" s="36"/>
      <c r="J10" s="34"/>
      <c r="K10" s="92"/>
      <c r="L10" s="34"/>
      <c r="M10" s="17" t="s">
        <v>24</v>
      </c>
      <c r="N10" s="19" t="s">
        <v>18</v>
      </c>
      <c r="O10" s="11">
        <v>2480</v>
      </c>
      <c r="P10" s="20">
        <f>+L8/O10</f>
        <v>50095.161290322583</v>
      </c>
      <c r="Q10" s="37"/>
      <c r="R10" s="37"/>
      <c r="S10" s="37"/>
    </row>
    <row r="11" spans="1:22" ht="9.6" customHeight="1" x14ac:dyDescent="0.25">
      <c r="A11" s="90"/>
      <c r="B11" s="104"/>
      <c r="C11" s="91"/>
      <c r="D11" s="64"/>
      <c r="E11" s="64"/>
      <c r="F11" s="46"/>
      <c r="G11" s="46"/>
      <c r="H11" s="46"/>
      <c r="I11" s="36"/>
      <c r="J11" s="34"/>
      <c r="K11" s="92"/>
      <c r="L11" s="34"/>
      <c r="M11" s="21" t="s">
        <v>25</v>
      </c>
      <c r="N11" s="21" t="s">
        <v>16</v>
      </c>
      <c r="O11" s="13">
        <v>2970</v>
      </c>
      <c r="P11" s="22">
        <f>+L8/O11</f>
        <v>41830.303030303032</v>
      </c>
      <c r="Q11" s="37"/>
      <c r="R11" s="37"/>
      <c r="S11" s="37"/>
    </row>
    <row r="12" spans="1:22" ht="9.6" customHeight="1" x14ac:dyDescent="0.25">
      <c r="A12" s="95">
        <f>+A8+1</f>
        <v>3</v>
      </c>
      <c r="B12" s="104"/>
      <c r="C12" s="93" t="s">
        <v>27</v>
      </c>
      <c r="D12" s="59">
        <f t="shared" ref="D12:D31" si="1">J12*0.15</f>
        <v>15973200</v>
      </c>
      <c r="E12" s="59">
        <f t="shared" ref="E12" si="2">J12*0.05</f>
        <v>5324400</v>
      </c>
      <c r="F12" s="50">
        <v>0.5</v>
      </c>
      <c r="G12" s="50">
        <v>0.1</v>
      </c>
      <c r="H12" s="50">
        <v>0.75</v>
      </c>
      <c r="I12" s="71" t="s">
        <v>34</v>
      </c>
      <c r="J12" s="43">
        <f>+$B$4*6/5</f>
        <v>106488000</v>
      </c>
      <c r="K12" s="94">
        <v>1</v>
      </c>
      <c r="L12" s="43">
        <f>+K12*J12</f>
        <v>106488000</v>
      </c>
      <c r="M12" s="4" t="s">
        <v>22</v>
      </c>
      <c r="N12" s="4" t="s">
        <v>15</v>
      </c>
      <c r="O12" s="5">
        <v>1800</v>
      </c>
      <c r="P12" s="23">
        <f>+L12/O12</f>
        <v>59160</v>
      </c>
      <c r="Q12" s="87">
        <v>2900</v>
      </c>
      <c r="R12" s="101">
        <v>5050</v>
      </c>
      <c r="S12" s="101">
        <v>20150</v>
      </c>
    </row>
    <row r="13" spans="1:22" ht="9.6" customHeight="1" x14ac:dyDescent="0.25">
      <c r="A13" s="96"/>
      <c r="B13" s="104"/>
      <c r="C13" s="93"/>
      <c r="D13" s="60"/>
      <c r="E13" s="60"/>
      <c r="F13" s="51"/>
      <c r="G13" s="51"/>
      <c r="H13" s="51"/>
      <c r="I13" s="72"/>
      <c r="J13" s="43"/>
      <c r="K13" s="94"/>
      <c r="L13" s="43"/>
      <c r="M13" s="7" t="s">
        <v>23</v>
      </c>
      <c r="N13" s="7" t="s">
        <v>17</v>
      </c>
      <c r="O13" s="8">
        <v>1920</v>
      </c>
      <c r="P13" s="24">
        <f>+L12/O13</f>
        <v>55462.5</v>
      </c>
      <c r="Q13" s="88"/>
      <c r="R13" s="101"/>
      <c r="S13" s="101"/>
    </row>
    <row r="14" spans="1:22" ht="9.6" customHeight="1" x14ac:dyDescent="0.25">
      <c r="A14" s="96"/>
      <c r="B14" s="104"/>
      <c r="C14" s="93"/>
      <c r="D14" s="60"/>
      <c r="E14" s="60"/>
      <c r="F14" s="51"/>
      <c r="G14" s="51"/>
      <c r="H14" s="51"/>
      <c r="I14" s="72"/>
      <c r="J14" s="43"/>
      <c r="K14" s="94"/>
      <c r="L14" s="43"/>
      <c r="M14" s="7" t="s">
        <v>24</v>
      </c>
      <c r="N14" s="10" t="s">
        <v>18</v>
      </c>
      <c r="O14" s="11">
        <v>2480</v>
      </c>
      <c r="P14" s="25">
        <f>+L12/O14</f>
        <v>42938.709677419356</v>
      </c>
      <c r="Q14" s="88"/>
      <c r="R14" s="101"/>
      <c r="S14" s="101"/>
    </row>
    <row r="15" spans="1:22" ht="9.6" customHeight="1" x14ac:dyDescent="0.25">
      <c r="A15" s="97"/>
      <c r="B15" s="104"/>
      <c r="C15" s="93"/>
      <c r="D15" s="61"/>
      <c r="E15" s="61"/>
      <c r="F15" s="52"/>
      <c r="G15" s="52"/>
      <c r="H15" s="52"/>
      <c r="I15" s="72"/>
      <c r="J15" s="43"/>
      <c r="K15" s="94"/>
      <c r="L15" s="43"/>
      <c r="M15" s="12" t="s">
        <v>25</v>
      </c>
      <c r="N15" s="12" t="s">
        <v>16</v>
      </c>
      <c r="O15" s="13">
        <v>2970</v>
      </c>
      <c r="P15" s="26">
        <f>+L12/O15</f>
        <v>35854.545454545456</v>
      </c>
      <c r="Q15" s="89"/>
      <c r="R15" s="101"/>
      <c r="S15" s="101"/>
    </row>
    <row r="16" spans="1:22" ht="9.6" customHeight="1" x14ac:dyDescent="0.25">
      <c r="A16" s="98">
        <f>+A12+1</f>
        <v>4</v>
      </c>
      <c r="B16" s="104"/>
      <c r="C16" s="91" t="s">
        <v>4</v>
      </c>
      <c r="D16" s="62">
        <f t="shared" ref="D16:D31" si="3">J16*0.15</f>
        <v>13311000</v>
      </c>
      <c r="E16" s="62">
        <f t="shared" ref="E16" si="4">J16*0.05</f>
        <v>4437000</v>
      </c>
      <c r="F16" s="44">
        <v>0.5</v>
      </c>
      <c r="G16" s="44">
        <v>0.1</v>
      </c>
      <c r="H16" s="44">
        <v>0.75</v>
      </c>
      <c r="I16" s="35">
        <v>1</v>
      </c>
      <c r="J16" s="34">
        <f>+$B$4*1</f>
        <v>88740000</v>
      </c>
      <c r="K16" s="92">
        <v>1</v>
      </c>
      <c r="L16" s="34">
        <f>+K16*J16</f>
        <v>88740000</v>
      </c>
      <c r="M16" s="15" t="s">
        <v>22</v>
      </c>
      <c r="N16" s="15" t="s">
        <v>15</v>
      </c>
      <c r="O16" s="5">
        <v>1800</v>
      </c>
      <c r="P16" s="16">
        <f>+L16/O16</f>
        <v>49300</v>
      </c>
      <c r="Q16" s="37">
        <v>2900</v>
      </c>
      <c r="R16" s="37">
        <v>4350</v>
      </c>
      <c r="S16" s="37">
        <v>17000</v>
      </c>
    </row>
    <row r="17" spans="1:19" ht="9.6" customHeight="1" x14ac:dyDescent="0.25">
      <c r="A17" s="99"/>
      <c r="B17" s="104"/>
      <c r="C17" s="91"/>
      <c r="D17" s="63"/>
      <c r="E17" s="63"/>
      <c r="F17" s="45"/>
      <c r="G17" s="45"/>
      <c r="H17" s="45"/>
      <c r="I17" s="36"/>
      <c r="J17" s="34"/>
      <c r="K17" s="92"/>
      <c r="L17" s="34"/>
      <c r="M17" s="17" t="s">
        <v>23</v>
      </c>
      <c r="N17" s="17" t="s">
        <v>17</v>
      </c>
      <c r="O17" s="8">
        <v>1920</v>
      </c>
      <c r="P17" s="18">
        <f>+L16/O17</f>
        <v>46218.75</v>
      </c>
      <c r="Q17" s="37"/>
      <c r="R17" s="37"/>
      <c r="S17" s="37"/>
    </row>
    <row r="18" spans="1:19" ht="9.6" customHeight="1" x14ac:dyDescent="0.25">
      <c r="A18" s="99"/>
      <c r="B18" s="104"/>
      <c r="C18" s="91"/>
      <c r="D18" s="63"/>
      <c r="E18" s="63"/>
      <c r="F18" s="45"/>
      <c r="G18" s="45"/>
      <c r="H18" s="45"/>
      <c r="I18" s="36"/>
      <c r="J18" s="34"/>
      <c r="K18" s="92"/>
      <c r="L18" s="34"/>
      <c r="M18" s="17" t="s">
        <v>24</v>
      </c>
      <c r="N18" s="19" t="s">
        <v>18</v>
      </c>
      <c r="O18" s="11">
        <v>2480</v>
      </c>
      <c r="P18" s="20">
        <f>+L16/O18</f>
        <v>35782.258064516129</v>
      </c>
      <c r="Q18" s="37"/>
      <c r="R18" s="37"/>
      <c r="S18" s="37"/>
    </row>
    <row r="19" spans="1:19" ht="9.6" customHeight="1" x14ac:dyDescent="0.25">
      <c r="A19" s="100"/>
      <c r="B19" s="104"/>
      <c r="C19" s="91"/>
      <c r="D19" s="64"/>
      <c r="E19" s="64"/>
      <c r="F19" s="46"/>
      <c r="G19" s="46"/>
      <c r="H19" s="46"/>
      <c r="I19" s="36"/>
      <c r="J19" s="34"/>
      <c r="K19" s="92"/>
      <c r="L19" s="34"/>
      <c r="M19" s="21" t="s">
        <v>25</v>
      </c>
      <c r="N19" s="21" t="s">
        <v>16</v>
      </c>
      <c r="O19" s="13">
        <v>2970</v>
      </c>
      <c r="P19" s="22">
        <f>+L16/O19</f>
        <v>29878.78787878788</v>
      </c>
      <c r="Q19" s="37"/>
      <c r="R19" s="37"/>
      <c r="S19" s="37"/>
    </row>
    <row r="20" spans="1:19" ht="9.6" customHeight="1" x14ac:dyDescent="0.25">
      <c r="A20" s="95">
        <f>+A16+1</f>
        <v>5</v>
      </c>
      <c r="B20" s="104"/>
      <c r="C20" s="93" t="s">
        <v>28</v>
      </c>
      <c r="D20" s="59">
        <f t="shared" ref="D20:D31" si="5">J20*0.15</f>
        <v>11092500</v>
      </c>
      <c r="E20" s="59">
        <f t="shared" ref="E20" si="6">J20*0.05</f>
        <v>3697500</v>
      </c>
      <c r="F20" s="50">
        <v>0.5</v>
      </c>
      <c r="G20" s="50">
        <v>0.1</v>
      </c>
      <c r="H20" s="50">
        <v>0.75</v>
      </c>
      <c r="I20" s="53" t="s">
        <v>35</v>
      </c>
      <c r="J20" s="43">
        <f>+$B$4*5/6</f>
        <v>73950000</v>
      </c>
      <c r="K20" s="94">
        <v>1</v>
      </c>
      <c r="L20" s="43">
        <f>+K20*J20</f>
        <v>73950000</v>
      </c>
      <c r="M20" s="4" t="s">
        <v>22</v>
      </c>
      <c r="N20" s="4" t="s">
        <v>15</v>
      </c>
      <c r="O20" s="5">
        <v>1800</v>
      </c>
      <c r="P20" s="23">
        <f>+L20/O20</f>
        <v>41083.333333333336</v>
      </c>
      <c r="Q20" s="87">
        <v>2900</v>
      </c>
      <c r="R20" s="101">
        <v>3750</v>
      </c>
      <c r="S20" s="101">
        <v>15100</v>
      </c>
    </row>
    <row r="21" spans="1:19" ht="9.6" customHeight="1" x14ac:dyDescent="0.25">
      <c r="A21" s="96"/>
      <c r="B21" s="104"/>
      <c r="C21" s="93"/>
      <c r="D21" s="60"/>
      <c r="E21" s="60"/>
      <c r="F21" s="51"/>
      <c r="G21" s="51"/>
      <c r="H21" s="51"/>
      <c r="I21" s="54"/>
      <c r="J21" s="43"/>
      <c r="K21" s="94"/>
      <c r="L21" s="43"/>
      <c r="M21" s="7" t="s">
        <v>23</v>
      </c>
      <c r="N21" s="7" t="s">
        <v>17</v>
      </c>
      <c r="O21" s="8">
        <v>1920</v>
      </c>
      <c r="P21" s="24">
        <f>+L20/O21</f>
        <v>38515.625</v>
      </c>
      <c r="Q21" s="88"/>
      <c r="R21" s="101"/>
      <c r="S21" s="101"/>
    </row>
    <row r="22" spans="1:19" ht="9.6" customHeight="1" x14ac:dyDescent="0.25">
      <c r="A22" s="96"/>
      <c r="B22" s="104"/>
      <c r="C22" s="93"/>
      <c r="D22" s="60"/>
      <c r="E22" s="60"/>
      <c r="F22" s="51"/>
      <c r="G22" s="51"/>
      <c r="H22" s="51"/>
      <c r="I22" s="54"/>
      <c r="J22" s="43"/>
      <c r="K22" s="94"/>
      <c r="L22" s="43"/>
      <c r="M22" s="7" t="s">
        <v>24</v>
      </c>
      <c r="N22" s="10" t="s">
        <v>18</v>
      </c>
      <c r="O22" s="11">
        <v>2480</v>
      </c>
      <c r="P22" s="25">
        <f>+L20/O22</f>
        <v>29818.548387096773</v>
      </c>
      <c r="Q22" s="88"/>
      <c r="R22" s="101"/>
      <c r="S22" s="101"/>
    </row>
    <row r="23" spans="1:19" ht="9.6" customHeight="1" x14ac:dyDescent="0.25">
      <c r="A23" s="97"/>
      <c r="B23" s="104"/>
      <c r="C23" s="93"/>
      <c r="D23" s="61"/>
      <c r="E23" s="61"/>
      <c r="F23" s="52"/>
      <c r="G23" s="52"/>
      <c r="H23" s="52"/>
      <c r="I23" s="55"/>
      <c r="J23" s="43"/>
      <c r="K23" s="94"/>
      <c r="L23" s="43"/>
      <c r="M23" s="12" t="s">
        <v>25</v>
      </c>
      <c r="N23" s="12" t="s">
        <v>16</v>
      </c>
      <c r="O23" s="13">
        <v>2970</v>
      </c>
      <c r="P23" s="26">
        <f>+L20/O23</f>
        <v>24898.989898989897</v>
      </c>
      <c r="Q23" s="89"/>
      <c r="R23" s="101"/>
      <c r="S23" s="101"/>
    </row>
    <row r="24" spans="1:19" ht="9.6" customHeight="1" x14ac:dyDescent="0.25">
      <c r="A24" s="98">
        <f>+A20+1</f>
        <v>6</v>
      </c>
      <c r="B24" s="104"/>
      <c r="C24" s="91" t="s">
        <v>5</v>
      </c>
      <c r="D24" s="62">
        <f t="shared" ref="D24:D31" si="7">J24*0.15</f>
        <v>8874000</v>
      </c>
      <c r="E24" s="62">
        <f t="shared" ref="E24" si="8">J24*0.05</f>
        <v>2958000</v>
      </c>
      <c r="F24" s="44">
        <v>0.5</v>
      </c>
      <c r="G24" s="44">
        <v>0.1</v>
      </c>
      <c r="H24" s="44">
        <v>0.75</v>
      </c>
      <c r="I24" s="35" t="s">
        <v>36</v>
      </c>
      <c r="J24" s="34">
        <f>+$B$4*2/3</f>
        <v>59160000</v>
      </c>
      <c r="K24" s="92">
        <v>1</v>
      </c>
      <c r="L24" s="34">
        <f>+K24*J24</f>
        <v>59160000</v>
      </c>
      <c r="M24" s="15" t="s">
        <v>22</v>
      </c>
      <c r="N24" s="15" t="s">
        <v>15</v>
      </c>
      <c r="O24" s="5">
        <v>1800</v>
      </c>
      <c r="P24" s="16">
        <f>+L24/O24</f>
        <v>32866.666666666664</v>
      </c>
      <c r="Q24" s="37">
        <v>2900</v>
      </c>
      <c r="R24" s="37">
        <v>3150</v>
      </c>
      <c r="S24" s="37">
        <v>12700</v>
      </c>
    </row>
    <row r="25" spans="1:19" ht="9.6" customHeight="1" x14ac:dyDescent="0.25">
      <c r="A25" s="99"/>
      <c r="B25" s="104"/>
      <c r="C25" s="91"/>
      <c r="D25" s="63"/>
      <c r="E25" s="63"/>
      <c r="F25" s="45"/>
      <c r="G25" s="45"/>
      <c r="H25" s="45"/>
      <c r="I25" s="36"/>
      <c r="J25" s="34"/>
      <c r="K25" s="92"/>
      <c r="L25" s="34"/>
      <c r="M25" s="17" t="s">
        <v>23</v>
      </c>
      <c r="N25" s="17" t="s">
        <v>17</v>
      </c>
      <c r="O25" s="8">
        <v>1920</v>
      </c>
      <c r="P25" s="18">
        <f>+L24/O25</f>
        <v>30812.5</v>
      </c>
      <c r="Q25" s="37"/>
      <c r="R25" s="37"/>
      <c r="S25" s="37"/>
    </row>
    <row r="26" spans="1:19" ht="9.6" customHeight="1" x14ac:dyDescent="0.25">
      <c r="A26" s="99"/>
      <c r="B26" s="104"/>
      <c r="C26" s="91"/>
      <c r="D26" s="63"/>
      <c r="E26" s="63"/>
      <c r="F26" s="45"/>
      <c r="G26" s="45"/>
      <c r="H26" s="45"/>
      <c r="I26" s="36"/>
      <c r="J26" s="34"/>
      <c r="K26" s="92"/>
      <c r="L26" s="34"/>
      <c r="M26" s="17" t="s">
        <v>24</v>
      </c>
      <c r="N26" s="19" t="s">
        <v>18</v>
      </c>
      <c r="O26" s="11">
        <v>2480</v>
      </c>
      <c r="P26" s="20">
        <f>+L24/O26</f>
        <v>23854.83870967742</v>
      </c>
      <c r="Q26" s="37"/>
      <c r="R26" s="37"/>
      <c r="S26" s="37"/>
    </row>
    <row r="27" spans="1:19" ht="9.6" customHeight="1" x14ac:dyDescent="0.25">
      <c r="A27" s="100"/>
      <c r="B27" s="104"/>
      <c r="C27" s="91"/>
      <c r="D27" s="64"/>
      <c r="E27" s="64"/>
      <c r="F27" s="46"/>
      <c r="G27" s="46"/>
      <c r="H27" s="46"/>
      <c r="I27" s="36"/>
      <c r="J27" s="34"/>
      <c r="K27" s="92"/>
      <c r="L27" s="34"/>
      <c r="M27" s="21" t="s">
        <v>25</v>
      </c>
      <c r="N27" s="21" t="s">
        <v>16</v>
      </c>
      <c r="O27" s="13">
        <v>2970</v>
      </c>
      <c r="P27" s="22">
        <f>+L24/O27</f>
        <v>19919.191919191919</v>
      </c>
      <c r="Q27" s="37"/>
      <c r="R27" s="37"/>
      <c r="S27" s="37"/>
    </row>
    <row r="28" spans="1:19" ht="9.6" customHeight="1" x14ac:dyDescent="0.25">
      <c r="A28" s="95">
        <f>+A24+1</f>
        <v>7</v>
      </c>
      <c r="B28" s="104"/>
      <c r="C28" s="93" t="s">
        <v>29</v>
      </c>
      <c r="D28" s="59">
        <f t="shared" ref="D28:D31" si="9">J28*0.15</f>
        <v>6655500</v>
      </c>
      <c r="E28" s="59">
        <f t="shared" ref="E28" si="10">J28*0.05</f>
        <v>2218500</v>
      </c>
      <c r="F28" s="50">
        <v>0.5</v>
      </c>
      <c r="G28" s="50">
        <v>0.1</v>
      </c>
      <c r="H28" s="50">
        <v>0.75</v>
      </c>
      <c r="I28" s="53" t="s">
        <v>37</v>
      </c>
      <c r="J28" s="43">
        <f>+$B$4*1/2</f>
        <v>44370000</v>
      </c>
      <c r="K28" s="94">
        <v>1</v>
      </c>
      <c r="L28" s="43">
        <f>+K28*J28</f>
        <v>44370000</v>
      </c>
      <c r="M28" s="4" t="s">
        <v>22</v>
      </c>
      <c r="N28" s="4" t="s">
        <v>15</v>
      </c>
      <c r="O28" s="5">
        <v>1800</v>
      </c>
      <c r="P28" s="23">
        <f>+L28/O28</f>
        <v>24650</v>
      </c>
      <c r="Q28" s="87">
        <v>2900</v>
      </c>
      <c r="R28" s="101">
        <v>2700</v>
      </c>
      <c r="S28" s="101">
        <v>10800</v>
      </c>
    </row>
    <row r="29" spans="1:19" ht="9.6" customHeight="1" x14ac:dyDescent="0.25">
      <c r="A29" s="96"/>
      <c r="B29" s="104"/>
      <c r="C29" s="93"/>
      <c r="D29" s="60"/>
      <c r="E29" s="60"/>
      <c r="F29" s="51"/>
      <c r="G29" s="51"/>
      <c r="H29" s="51"/>
      <c r="I29" s="54"/>
      <c r="J29" s="43"/>
      <c r="K29" s="94"/>
      <c r="L29" s="43"/>
      <c r="M29" s="7" t="s">
        <v>23</v>
      </c>
      <c r="N29" s="7" t="s">
        <v>17</v>
      </c>
      <c r="O29" s="8">
        <v>1920</v>
      </c>
      <c r="P29" s="24">
        <f>+L28/O29</f>
        <v>23109.375</v>
      </c>
      <c r="Q29" s="88"/>
      <c r="R29" s="101"/>
      <c r="S29" s="101"/>
    </row>
    <row r="30" spans="1:19" ht="9.6" customHeight="1" x14ac:dyDescent="0.25">
      <c r="A30" s="96"/>
      <c r="B30" s="104"/>
      <c r="C30" s="93"/>
      <c r="D30" s="60"/>
      <c r="E30" s="60"/>
      <c r="F30" s="51"/>
      <c r="G30" s="51"/>
      <c r="H30" s="51"/>
      <c r="I30" s="54"/>
      <c r="J30" s="43"/>
      <c r="K30" s="94"/>
      <c r="L30" s="43"/>
      <c r="M30" s="7" t="s">
        <v>24</v>
      </c>
      <c r="N30" s="10" t="s">
        <v>18</v>
      </c>
      <c r="O30" s="11">
        <v>2480</v>
      </c>
      <c r="P30" s="25">
        <f>+L28/O30</f>
        <v>17891.129032258064</v>
      </c>
      <c r="Q30" s="88"/>
      <c r="R30" s="101"/>
      <c r="S30" s="101"/>
    </row>
    <row r="31" spans="1:19" ht="9.6" customHeight="1" x14ac:dyDescent="0.25">
      <c r="A31" s="97"/>
      <c r="B31" s="104"/>
      <c r="C31" s="93"/>
      <c r="D31" s="61"/>
      <c r="E31" s="61"/>
      <c r="F31" s="52"/>
      <c r="G31" s="52"/>
      <c r="H31" s="52"/>
      <c r="I31" s="55"/>
      <c r="J31" s="43"/>
      <c r="K31" s="94"/>
      <c r="L31" s="43"/>
      <c r="M31" s="12" t="s">
        <v>25</v>
      </c>
      <c r="N31" s="12" t="s">
        <v>16</v>
      </c>
      <c r="O31" s="13">
        <v>2970</v>
      </c>
      <c r="P31" s="26">
        <f>+L28/O31</f>
        <v>14939.39393939394</v>
      </c>
      <c r="Q31" s="89"/>
      <c r="R31" s="101"/>
      <c r="S31" s="101"/>
    </row>
    <row r="32" spans="1:19" ht="9.6" customHeight="1" x14ac:dyDescent="0.25">
      <c r="A32" s="98">
        <f>+A28+1</f>
        <v>8</v>
      </c>
      <c r="B32" s="104"/>
      <c r="C32" s="91" t="s">
        <v>6</v>
      </c>
      <c r="D32" s="62">
        <f>J32*0.1</f>
        <v>2958000</v>
      </c>
      <c r="E32" s="62">
        <f t="shared" ref="E32" si="11">J32*0.05</f>
        <v>1479000</v>
      </c>
      <c r="F32" s="44">
        <v>0.5</v>
      </c>
      <c r="G32" s="44">
        <v>0.1</v>
      </c>
      <c r="H32" s="44">
        <v>0.75</v>
      </c>
      <c r="I32" s="35" t="s">
        <v>38</v>
      </c>
      <c r="J32" s="34">
        <f>+$B$4*1/3</f>
        <v>29580000</v>
      </c>
      <c r="K32" s="92">
        <v>1</v>
      </c>
      <c r="L32" s="34">
        <f>+K32*J32</f>
        <v>29580000</v>
      </c>
      <c r="M32" s="15" t="s">
        <v>22</v>
      </c>
      <c r="N32" s="15" t="s">
        <v>15</v>
      </c>
      <c r="O32" s="5">
        <v>1800</v>
      </c>
      <c r="P32" s="16">
        <f>+L32/O32</f>
        <v>16433.333333333332</v>
      </c>
      <c r="Q32" s="37">
        <v>2900</v>
      </c>
      <c r="R32" s="37">
        <v>2200</v>
      </c>
      <c r="S32" s="37">
        <v>8500</v>
      </c>
    </row>
    <row r="33" spans="1:19" ht="9.6" customHeight="1" x14ac:dyDescent="0.25">
      <c r="A33" s="99"/>
      <c r="B33" s="104"/>
      <c r="C33" s="91"/>
      <c r="D33" s="63"/>
      <c r="E33" s="63"/>
      <c r="F33" s="45"/>
      <c r="G33" s="45"/>
      <c r="H33" s="45"/>
      <c r="I33" s="36"/>
      <c r="J33" s="34"/>
      <c r="K33" s="92"/>
      <c r="L33" s="34"/>
      <c r="M33" s="17" t="s">
        <v>23</v>
      </c>
      <c r="N33" s="17" t="s">
        <v>17</v>
      </c>
      <c r="O33" s="8">
        <v>1920</v>
      </c>
      <c r="P33" s="18">
        <f>+L32/O33</f>
        <v>15406.25</v>
      </c>
      <c r="Q33" s="37"/>
      <c r="R33" s="37"/>
      <c r="S33" s="37"/>
    </row>
    <row r="34" spans="1:19" ht="9.6" customHeight="1" x14ac:dyDescent="0.25">
      <c r="A34" s="99"/>
      <c r="B34" s="104"/>
      <c r="C34" s="91"/>
      <c r="D34" s="63"/>
      <c r="E34" s="63"/>
      <c r="F34" s="45"/>
      <c r="G34" s="45"/>
      <c r="H34" s="45"/>
      <c r="I34" s="36"/>
      <c r="J34" s="34"/>
      <c r="K34" s="92"/>
      <c r="L34" s="34"/>
      <c r="M34" s="17" t="s">
        <v>24</v>
      </c>
      <c r="N34" s="19" t="s">
        <v>18</v>
      </c>
      <c r="O34" s="11">
        <v>2480</v>
      </c>
      <c r="P34" s="20">
        <f>+L32/O34</f>
        <v>11927.41935483871</v>
      </c>
      <c r="Q34" s="37"/>
      <c r="R34" s="37"/>
      <c r="S34" s="37"/>
    </row>
    <row r="35" spans="1:19" ht="9.6" customHeight="1" x14ac:dyDescent="0.25">
      <c r="A35" s="100"/>
      <c r="B35" s="104"/>
      <c r="C35" s="91"/>
      <c r="D35" s="64"/>
      <c r="E35" s="64"/>
      <c r="F35" s="46"/>
      <c r="G35" s="46"/>
      <c r="H35" s="46"/>
      <c r="I35" s="36"/>
      <c r="J35" s="34"/>
      <c r="K35" s="92"/>
      <c r="L35" s="34"/>
      <c r="M35" s="21" t="s">
        <v>25</v>
      </c>
      <c r="N35" s="21" t="s">
        <v>16</v>
      </c>
      <c r="O35" s="13">
        <v>2970</v>
      </c>
      <c r="P35" s="22">
        <f>+L32/O35</f>
        <v>9959.5959595959594</v>
      </c>
      <c r="Q35" s="37"/>
      <c r="R35" s="37"/>
      <c r="S35" s="37"/>
    </row>
    <row r="36" spans="1:19" ht="9.6" customHeight="1" x14ac:dyDescent="0.25">
      <c r="A36" s="95">
        <f>+A32+1</f>
        <v>9</v>
      </c>
      <c r="B36" s="104"/>
      <c r="C36" s="93" t="s">
        <v>30</v>
      </c>
      <c r="D36" s="59">
        <f>J36*0.1</f>
        <v>1774800</v>
      </c>
      <c r="E36" s="59">
        <f t="shared" ref="E36" si="12">J36*0.05</f>
        <v>887400</v>
      </c>
      <c r="F36" s="50">
        <v>0.5</v>
      </c>
      <c r="G36" s="50">
        <v>0.1</v>
      </c>
      <c r="H36" s="50">
        <v>0.75</v>
      </c>
      <c r="I36" s="53" t="s">
        <v>39</v>
      </c>
      <c r="J36" s="43">
        <f>+$B$4*1/5</f>
        <v>17748000</v>
      </c>
      <c r="K36" s="94" t="s">
        <v>44</v>
      </c>
      <c r="L36" s="43">
        <f>+J36*4/3</f>
        <v>23664000</v>
      </c>
      <c r="M36" s="4" t="s">
        <v>22</v>
      </c>
      <c r="N36" s="4" t="s">
        <v>15</v>
      </c>
      <c r="O36" s="5">
        <v>1800</v>
      </c>
      <c r="P36" s="23">
        <f>+L36/O36</f>
        <v>13146.666666666666</v>
      </c>
      <c r="Q36" s="87">
        <v>2900</v>
      </c>
      <c r="R36" s="101">
        <v>1800</v>
      </c>
      <c r="S36" s="101">
        <v>7200</v>
      </c>
    </row>
    <row r="37" spans="1:19" ht="9.6" customHeight="1" x14ac:dyDescent="0.25">
      <c r="A37" s="96"/>
      <c r="B37" s="104"/>
      <c r="C37" s="93"/>
      <c r="D37" s="60"/>
      <c r="E37" s="60"/>
      <c r="F37" s="51"/>
      <c r="G37" s="51"/>
      <c r="H37" s="51"/>
      <c r="I37" s="54"/>
      <c r="J37" s="43"/>
      <c r="K37" s="94"/>
      <c r="L37" s="43"/>
      <c r="M37" s="7" t="s">
        <v>23</v>
      </c>
      <c r="N37" s="7" t="s">
        <v>17</v>
      </c>
      <c r="O37" s="8">
        <v>1920</v>
      </c>
      <c r="P37" s="24">
        <f>+L36/O37</f>
        <v>12325</v>
      </c>
      <c r="Q37" s="88"/>
      <c r="R37" s="101"/>
      <c r="S37" s="101"/>
    </row>
    <row r="38" spans="1:19" ht="9.6" customHeight="1" x14ac:dyDescent="0.25">
      <c r="A38" s="96"/>
      <c r="B38" s="104"/>
      <c r="C38" s="93"/>
      <c r="D38" s="60"/>
      <c r="E38" s="60"/>
      <c r="F38" s="51"/>
      <c r="G38" s="51"/>
      <c r="H38" s="51"/>
      <c r="I38" s="54"/>
      <c r="J38" s="43"/>
      <c r="K38" s="94"/>
      <c r="L38" s="43"/>
      <c r="M38" s="7" t="s">
        <v>24</v>
      </c>
      <c r="N38" s="10" t="s">
        <v>18</v>
      </c>
      <c r="O38" s="11">
        <v>2480</v>
      </c>
      <c r="P38" s="25">
        <f>+L36/O38</f>
        <v>9541.9354838709678</v>
      </c>
      <c r="Q38" s="88"/>
      <c r="R38" s="101"/>
      <c r="S38" s="101"/>
    </row>
    <row r="39" spans="1:19" ht="9.6" customHeight="1" x14ac:dyDescent="0.25">
      <c r="A39" s="97"/>
      <c r="B39" s="104"/>
      <c r="C39" s="93"/>
      <c r="D39" s="61"/>
      <c r="E39" s="61"/>
      <c r="F39" s="52"/>
      <c r="G39" s="52"/>
      <c r="H39" s="52"/>
      <c r="I39" s="55"/>
      <c r="J39" s="43"/>
      <c r="K39" s="94"/>
      <c r="L39" s="43"/>
      <c r="M39" s="12" t="s">
        <v>25</v>
      </c>
      <c r="N39" s="12" t="s">
        <v>16</v>
      </c>
      <c r="O39" s="13">
        <v>2970</v>
      </c>
      <c r="P39" s="26">
        <f>+L36/O39</f>
        <v>7967.6767676767677</v>
      </c>
      <c r="Q39" s="89"/>
      <c r="R39" s="101"/>
      <c r="S39" s="101"/>
    </row>
    <row r="40" spans="1:19" ht="9.6" customHeight="1" x14ac:dyDescent="0.25">
      <c r="A40" s="98">
        <f>+A36+1</f>
        <v>10</v>
      </c>
      <c r="B40" s="104"/>
      <c r="C40" s="91" t="s">
        <v>7</v>
      </c>
      <c r="D40" s="56" t="s">
        <v>19</v>
      </c>
      <c r="E40" s="62">
        <f t="shared" ref="E40" si="13">J40*0.05</f>
        <v>443700</v>
      </c>
      <c r="F40" s="44">
        <v>0.5</v>
      </c>
      <c r="G40" s="44">
        <v>0.1</v>
      </c>
      <c r="H40" s="44">
        <v>0.75</v>
      </c>
      <c r="I40" s="35" t="s">
        <v>40</v>
      </c>
      <c r="J40" s="34">
        <f>+$B$4*1/10</f>
        <v>8874000</v>
      </c>
      <c r="K40" s="92">
        <v>2</v>
      </c>
      <c r="L40" s="34">
        <f>+K40*J40</f>
        <v>17748000</v>
      </c>
      <c r="M40" s="15" t="s">
        <v>22</v>
      </c>
      <c r="N40" s="15" t="s">
        <v>15</v>
      </c>
      <c r="O40" s="5">
        <v>1800</v>
      </c>
      <c r="P40" s="16">
        <f>+L40/O40</f>
        <v>9860</v>
      </c>
      <c r="Q40" s="37">
        <v>2900</v>
      </c>
      <c r="R40" s="37">
        <v>1400</v>
      </c>
      <c r="S40" s="37">
        <v>5750</v>
      </c>
    </row>
    <row r="41" spans="1:19" ht="9.6" customHeight="1" x14ac:dyDescent="0.25">
      <c r="A41" s="99"/>
      <c r="B41" s="104"/>
      <c r="C41" s="91"/>
      <c r="D41" s="57"/>
      <c r="E41" s="63"/>
      <c r="F41" s="45"/>
      <c r="G41" s="45"/>
      <c r="H41" s="45"/>
      <c r="I41" s="36"/>
      <c r="J41" s="34"/>
      <c r="K41" s="92"/>
      <c r="L41" s="34"/>
      <c r="M41" s="17" t="s">
        <v>23</v>
      </c>
      <c r="N41" s="17" t="s">
        <v>17</v>
      </c>
      <c r="O41" s="8">
        <v>1920</v>
      </c>
      <c r="P41" s="18">
        <f>+L40/O41</f>
        <v>9243.75</v>
      </c>
      <c r="Q41" s="37"/>
      <c r="R41" s="37"/>
      <c r="S41" s="37"/>
    </row>
    <row r="42" spans="1:19" ht="9.6" customHeight="1" x14ac:dyDescent="0.25">
      <c r="A42" s="99"/>
      <c r="B42" s="104"/>
      <c r="C42" s="91"/>
      <c r="D42" s="57"/>
      <c r="E42" s="63"/>
      <c r="F42" s="45"/>
      <c r="G42" s="45"/>
      <c r="H42" s="45"/>
      <c r="I42" s="36"/>
      <c r="J42" s="34"/>
      <c r="K42" s="92"/>
      <c r="L42" s="34"/>
      <c r="M42" s="17" t="s">
        <v>24</v>
      </c>
      <c r="N42" s="19" t="s">
        <v>18</v>
      </c>
      <c r="O42" s="11">
        <v>2480</v>
      </c>
      <c r="P42" s="20">
        <f>+L40/O42</f>
        <v>7156.4516129032254</v>
      </c>
      <c r="Q42" s="37"/>
      <c r="R42" s="37"/>
      <c r="S42" s="37"/>
    </row>
    <row r="43" spans="1:19" ht="9.6" customHeight="1" x14ac:dyDescent="0.25">
      <c r="A43" s="100"/>
      <c r="B43" s="104"/>
      <c r="C43" s="91"/>
      <c r="D43" s="58"/>
      <c r="E43" s="64"/>
      <c r="F43" s="46"/>
      <c r="G43" s="46"/>
      <c r="H43" s="46"/>
      <c r="I43" s="36"/>
      <c r="J43" s="34"/>
      <c r="K43" s="92"/>
      <c r="L43" s="34"/>
      <c r="M43" s="21" t="s">
        <v>25</v>
      </c>
      <c r="N43" s="21" t="s">
        <v>16</v>
      </c>
      <c r="O43" s="13">
        <v>2970</v>
      </c>
      <c r="P43" s="22">
        <f>+L40/O43</f>
        <v>5975.757575757576</v>
      </c>
      <c r="Q43" s="37"/>
      <c r="R43" s="37"/>
      <c r="S43" s="37"/>
    </row>
    <row r="44" spans="1:19" ht="9.6" customHeight="1" x14ac:dyDescent="0.25">
      <c r="A44" s="95">
        <f>+A40+1</f>
        <v>11</v>
      </c>
      <c r="B44" s="104"/>
      <c r="C44" s="93" t="s">
        <v>31</v>
      </c>
      <c r="D44" s="108" t="s">
        <v>19</v>
      </c>
      <c r="E44" s="59">
        <f t="shared" ref="E44" si="14">J44*0.05</f>
        <v>377145</v>
      </c>
      <c r="F44" s="50">
        <v>0.5</v>
      </c>
      <c r="G44" s="50">
        <v>0.1</v>
      </c>
      <c r="H44" s="50">
        <v>0.75</v>
      </c>
      <c r="I44" s="53" t="s">
        <v>41</v>
      </c>
      <c r="J44" s="43">
        <f>+$B$4*17/200</f>
        <v>7542900</v>
      </c>
      <c r="K44" s="107">
        <v>1.75</v>
      </c>
      <c r="L44" s="43">
        <f>+K44*J44</f>
        <v>13200075</v>
      </c>
      <c r="M44" s="4" t="s">
        <v>22</v>
      </c>
      <c r="N44" s="4" t="s">
        <v>15</v>
      </c>
      <c r="O44" s="5">
        <v>1800</v>
      </c>
      <c r="P44" s="23">
        <f>+L44/O44</f>
        <v>7333.375</v>
      </c>
      <c r="Q44" s="87">
        <v>2900</v>
      </c>
      <c r="R44" s="101">
        <v>1150</v>
      </c>
      <c r="S44" s="101">
        <v>4800</v>
      </c>
    </row>
    <row r="45" spans="1:19" ht="9.6" customHeight="1" x14ac:dyDescent="0.25">
      <c r="A45" s="96"/>
      <c r="B45" s="104"/>
      <c r="C45" s="93"/>
      <c r="D45" s="109"/>
      <c r="E45" s="60"/>
      <c r="F45" s="51"/>
      <c r="G45" s="51"/>
      <c r="H45" s="51"/>
      <c r="I45" s="54"/>
      <c r="J45" s="43"/>
      <c r="K45" s="107"/>
      <c r="L45" s="43"/>
      <c r="M45" s="7" t="s">
        <v>23</v>
      </c>
      <c r="N45" s="7" t="s">
        <v>17</v>
      </c>
      <c r="O45" s="8">
        <v>1920</v>
      </c>
      <c r="P45" s="24">
        <f>+L44/O45</f>
        <v>6875.0390625</v>
      </c>
      <c r="Q45" s="88"/>
      <c r="R45" s="101"/>
      <c r="S45" s="101"/>
    </row>
    <row r="46" spans="1:19" ht="9.6" customHeight="1" x14ac:dyDescent="0.25">
      <c r="A46" s="96"/>
      <c r="B46" s="104"/>
      <c r="C46" s="93"/>
      <c r="D46" s="109"/>
      <c r="E46" s="60"/>
      <c r="F46" s="51"/>
      <c r="G46" s="51"/>
      <c r="H46" s="51"/>
      <c r="I46" s="54"/>
      <c r="J46" s="43"/>
      <c r="K46" s="107"/>
      <c r="L46" s="43"/>
      <c r="M46" s="7" t="s">
        <v>24</v>
      </c>
      <c r="N46" s="10" t="s">
        <v>18</v>
      </c>
      <c r="O46" s="11">
        <v>2480</v>
      </c>
      <c r="P46" s="25">
        <f>+L44/O46</f>
        <v>5322.6108870967746</v>
      </c>
      <c r="Q46" s="88"/>
      <c r="R46" s="101"/>
      <c r="S46" s="101"/>
    </row>
    <row r="47" spans="1:19" ht="9.6" customHeight="1" x14ac:dyDescent="0.25">
      <c r="A47" s="97"/>
      <c r="B47" s="104"/>
      <c r="C47" s="93"/>
      <c r="D47" s="110"/>
      <c r="E47" s="61"/>
      <c r="F47" s="52"/>
      <c r="G47" s="52"/>
      <c r="H47" s="52"/>
      <c r="I47" s="55"/>
      <c r="J47" s="43"/>
      <c r="K47" s="107"/>
      <c r="L47" s="43"/>
      <c r="M47" s="12" t="s">
        <v>25</v>
      </c>
      <c r="N47" s="12" t="s">
        <v>16</v>
      </c>
      <c r="O47" s="13">
        <v>2970</v>
      </c>
      <c r="P47" s="26">
        <f>+L44/O47</f>
        <v>4444.469696969697</v>
      </c>
      <c r="Q47" s="89"/>
      <c r="R47" s="101"/>
      <c r="S47" s="101"/>
    </row>
    <row r="48" spans="1:19" ht="9.6" customHeight="1" x14ac:dyDescent="0.25">
      <c r="A48" s="98">
        <f>+A44+1</f>
        <v>12</v>
      </c>
      <c r="B48" s="104"/>
      <c r="C48" s="91" t="s">
        <v>8</v>
      </c>
      <c r="D48" s="56" t="s">
        <v>19</v>
      </c>
      <c r="E48" s="62">
        <f t="shared" ref="E48" si="15">J48*0.05</f>
        <v>310590</v>
      </c>
      <c r="F48" s="44" t="s">
        <v>19</v>
      </c>
      <c r="G48" s="44" t="s">
        <v>19</v>
      </c>
      <c r="H48" s="44" t="s">
        <v>19</v>
      </c>
      <c r="I48" s="35" t="s">
        <v>42</v>
      </c>
      <c r="J48" s="34">
        <f>+$B$4*7/100</f>
        <v>6211800</v>
      </c>
      <c r="K48" s="102">
        <v>1.5</v>
      </c>
      <c r="L48" s="34">
        <f>+J48*K48</f>
        <v>9317700</v>
      </c>
      <c r="M48" s="15" t="s">
        <v>22</v>
      </c>
      <c r="N48" s="15" t="s">
        <v>15</v>
      </c>
      <c r="O48" s="5">
        <v>1800</v>
      </c>
      <c r="P48" s="16">
        <f>+L48/O48</f>
        <v>5176.5</v>
      </c>
      <c r="Q48" s="37">
        <v>2900</v>
      </c>
      <c r="R48" s="37">
        <v>950</v>
      </c>
      <c r="S48" s="37">
        <v>3750</v>
      </c>
    </row>
    <row r="49" spans="1:19" ht="9.6" customHeight="1" x14ac:dyDescent="0.25">
      <c r="A49" s="99"/>
      <c r="B49" s="104"/>
      <c r="C49" s="91"/>
      <c r="D49" s="57"/>
      <c r="E49" s="63"/>
      <c r="F49" s="45"/>
      <c r="G49" s="45"/>
      <c r="H49" s="45"/>
      <c r="I49" s="36"/>
      <c r="J49" s="34"/>
      <c r="K49" s="102"/>
      <c r="L49" s="34"/>
      <c r="M49" s="17" t="s">
        <v>23</v>
      </c>
      <c r="N49" s="17" t="s">
        <v>17</v>
      </c>
      <c r="O49" s="8">
        <v>1920</v>
      </c>
      <c r="P49" s="18">
        <f>+L48/O49</f>
        <v>4852.96875</v>
      </c>
      <c r="Q49" s="37"/>
      <c r="R49" s="37"/>
      <c r="S49" s="37"/>
    </row>
    <row r="50" spans="1:19" ht="9.6" customHeight="1" x14ac:dyDescent="0.25">
      <c r="A50" s="99"/>
      <c r="B50" s="104"/>
      <c r="C50" s="91"/>
      <c r="D50" s="57"/>
      <c r="E50" s="63"/>
      <c r="F50" s="45"/>
      <c r="G50" s="45"/>
      <c r="H50" s="45"/>
      <c r="I50" s="36"/>
      <c r="J50" s="34"/>
      <c r="K50" s="102"/>
      <c r="L50" s="34"/>
      <c r="M50" s="17" t="s">
        <v>24</v>
      </c>
      <c r="N50" s="19" t="s">
        <v>18</v>
      </c>
      <c r="O50" s="11">
        <v>2480</v>
      </c>
      <c r="P50" s="20">
        <f>+L48/O50</f>
        <v>3757.1370967741937</v>
      </c>
      <c r="Q50" s="37"/>
      <c r="R50" s="37"/>
      <c r="S50" s="37"/>
    </row>
    <row r="51" spans="1:19" ht="9.6" customHeight="1" x14ac:dyDescent="0.25">
      <c r="A51" s="100"/>
      <c r="B51" s="104"/>
      <c r="C51" s="91"/>
      <c r="D51" s="58"/>
      <c r="E51" s="64"/>
      <c r="F51" s="46"/>
      <c r="G51" s="46"/>
      <c r="H51" s="46"/>
      <c r="I51" s="36"/>
      <c r="J51" s="34"/>
      <c r="K51" s="102"/>
      <c r="L51" s="34"/>
      <c r="M51" s="21" t="s">
        <v>25</v>
      </c>
      <c r="N51" s="21" t="s">
        <v>16</v>
      </c>
      <c r="O51" s="13">
        <v>2970</v>
      </c>
      <c r="P51" s="22">
        <f>+L48/O51</f>
        <v>3137.2727272727275</v>
      </c>
      <c r="Q51" s="37"/>
      <c r="R51" s="37"/>
      <c r="S51" s="37"/>
    </row>
    <row r="52" spans="1:19" ht="9.6" customHeight="1" x14ac:dyDescent="0.25">
      <c r="A52" s="95">
        <f>+A48+1</f>
        <v>13</v>
      </c>
      <c r="B52" s="104"/>
      <c r="C52" s="93" t="s">
        <v>32</v>
      </c>
      <c r="D52" s="108" t="s">
        <v>19</v>
      </c>
      <c r="E52" s="59">
        <f t="shared" ref="E52" si="16">J52*0.05</f>
        <v>221850</v>
      </c>
      <c r="F52" s="50" t="s">
        <v>19</v>
      </c>
      <c r="G52" s="50" t="s">
        <v>19</v>
      </c>
      <c r="H52" s="50" t="s">
        <v>19</v>
      </c>
      <c r="I52" s="53" t="s">
        <v>43</v>
      </c>
      <c r="J52" s="43">
        <f>+$B$4*1/20</f>
        <v>4437000</v>
      </c>
      <c r="K52" s="107">
        <v>1.5</v>
      </c>
      <c r="L52" s="43">
        <f>+J52*K52</f>
        <v>6655500</v>
      </c>
      <c r="M52" s="4" t="s">
        <v>22</v>
      </c>
      <c r="N52" s="4" t="s">
        <v>15</v>
      </c>
      <c r="O52" s="5">
        <v>1800</v>
      </c>
      <c r="P52" s="23">
        <f>+L52/O52</f>
        <v>3697.5</v>
      </c>
      <c r="Q52" s="87">
        <v>2900</v>
      </c>
      <c r="R52" s="101">
        <v>650</v>
      </c>
      <c r="S52" s="101">
        <v>2550</v>
      </c>
    </row>
    <row r="53" spans="1:19" ht="9.6" customHeight="1" x14ac:dyDescent="0.25">
      <c r="A53" s="96"/>
      <c r="B53" s="104"/>
      <c r="C53" s="93"/>
      <c r="D53" s="109"/>
      <c r="E53" s="60"/>
      <c r="F53" s="51"/>
      <c r="G53" s="51"/>
      <c r="H53" s="51"/>
      <c r="I53" s="54"/>
      <c r="J53" s="43"/>
      <c r="K53" s="107"/>
      <c r="L53" s="43"/>
      <c r="M53" s="7" t="s">
        <v>23</v>
      </c>
      <c r="N53" s="7" t="s">
        <v>17</v>
      </c>
      <c r="O53" s="8">
        <v>1920</v>
      </c>
      <c r="P53" s="24">
        <f>+L52/O53</f>
        <v>3466.40625</v>
      </c>
      <c r="Q53" s="88"/>
      <c r="R53" s="101"/>
      <c r="S53" s="101"/>
    </row>
    <row r="54" spans="1:19" ht="9.6" customHeight="1" x14ac:dyDescent="0.25">
      <c r="A54" s="96"/>
      <c r="B54" s="104"/>
      <c r="C54" s="93"/>
      <c r="D54" s="109"/>
      <c r="E54" s="60"/>
      <c r="F54" s="51"/>
      <c r="G54" s="51"/>
      <c r="H54" s="51"/>
      <c r="I54" s="54"/>
      <c r="J54" s="43"/>
      <c r="K54" s="107"/>
      <c r="L54" s="43"/>
      <c r="M54" s="7" t="s">
        <v>24</v>
      </c>
      <c r="N54" s="10" t="s">
        <v>18</v>
      </c>
      <c r="O54" s="11">
        <v>2480</v>
      </c>
      <c r="P54" s="25">
        <f>+L52/O54</f>
        <v>2683.6693548387098</v>
      </c>
      <c r="Q54" s="88"/>
      <c r="R54" s="101"/>
      <c r="S54" s="101"/>
    </row>
    <row r="55" spans="1:19" ht="9.6" customHeight="1" x14ac:dyDescent="0.25">
      <c r="A55" s="97"/>
      <c r="B55" s="104"/>
      <c r="C55" s="93"/>
      <c r="D55" s="110"/>
      <c r="E55" s="61"/>
      <c r="F55" s="52"/>
      <c r="G55" s="52"/>
      <c r="H55" s="52"/>
      <c r="I55" s="55"/>
      <c r="J55" s="43"/>
      <c r="K55" s="107"/>
      <c r="L55" s="43"/>
      <c r="M55" s="12" t="s">
        <v>25</v>
      </c>
      <c r="N55" s="12" t="s">
        <v>16</v>
      </c>
      <c r="O55" s="13">
        <v>2970</v>
      </c>
      <c r="P55" s="26">
        <f>+L52/O55</f>
        <v>2240.909090909091</v>
      </c>
      <c r="Q55" s="89"/>
      <c r="R55" s="101"/>
      <c r="S55" s="101"/>
    </row>
    <row r="56" spans="1:19" ht="9.6" customHeight="1" x14ac:dyDescent="0.25">
      <c r="A56" s="98">
        <f>+A52+1</f>
        <v>14</v>
      </c>
      <c r="B56" s="104"/>
      <c r="C56" s="91" t="s">
        <v>9</v>
      </c>
      <c r="D56" s="56" t="s">
        <v>19</v>
      </c>
      <c r="E56" s="56" t="s">
        <v>19</v>
      </c>
      <c r="F56" s="44" t="s">
        <v>19</v>
      </c>
      <c r="G56" s="44" t="s">
        <v>19</v>
      </c>
      <c r="H56" s="44" t="s">
        <v>19</v>
      </c>
      <c r="I56" s="35" t="s">
        <v>19</v>
      </c>
      <c r="J56" s="34" t="s">
        <v>19</v>
      </c>
      <c r="K56" s="106" t="s">
        <v>47</v>
      </c>
      <c r="L56" s="34">
        <f>J52*5/6</f>
        <v>3697500</v>
      </c>
      <c r="M56" s="15" t="s">
        <v>22</v>
      </c>
      <c r="N56" s="15" t="s">
        <v>15</v>
      </c>
      <c r="O56" s="5">
        <v>1800</v>
      </c>
      <c r="P56" s="16">
        <f>+L56/O56</f>
        <v>2054.1666666666665</v>
      </c>
      <c r="Q56" s="37">
        <v>2900</v>
      </c>
      <c r="R56" s="37">
        <v>350</v>
      </c>
      <c r="S56" s="37">
        <v>1300</v>
      </c>
    </row>
    <row r="57" spans="1:19" ht="9.6" customHeight="1" x14ac:dyDescent="0.25">
      <c r="A57" s="99"/>
      <c r="B57" s="104"/>
      <c r="C57" s="91"/>
      <c r="D57" s="57"/>
      <c r="E57" s="57"/>
      <c r="F57" s="45"/>
      <c r="G57" s="45"/>
      <c r="H57" s="45"/>
      <c r="I57" s="36"/>
      <c r="J57" s="34"/>
      <c r="K57" s="106"/>
      <c r="L57" s="34"/>
      <c r="M57" s="17" t="s">
        <v>23</v>
      </c>
      <c r="N57" s="17" t="s">
        <v>17</v>
      </c>
      <c r="O57" s="8">
        <v>1920</v>
      </c>
      <c r="P57" s="18">
        <f>+L56/O57</f>
        <v>1925.78125</v>
      </c>
      <c r="Q57" s="37"/>
      <c r="R57" s="37"/>
      <c r="S57" s="37"/>
    </row>
    <row r="58" spans="1:19" ht="9.6" customHeight="1" x14ac:dyDescent="0.25">
      <c r="A58" s="99"/>
      <c r="B58" s="104"/>
      <c r="C58" s="91"/>
      <c r="D58" s="57"/>
      <c r="E58" s="57"/>
      <c r="F58" s="45"/>
      <c r="G58" s="45"/>
      <c r="H58" s="45"/>
      <c r="I58" s="36"/>
      <c r="J58" s="34"/>
      <c r="K58" s="106"/>
      <c r="L58" s="34"/>
      <c r="M58" s="17" t="s">
        <v>24</v>
      </c>
      <c r="N58" s="19" t="s">
        <v>18</v>
      </c>
      <c r="O58" s="11">
        <v>2480</v>
      </c>
      <c r="P58" s="20">
        <f>+L56/O58</f>
        <v>1490.9274193548388</v>
      </c>
      <c r="Q58" s="37"/>
      <c r="R58" s="37"/>
      <c r="S58" s="37"/>
    </row>
    <row r="59" spans="1:19" ht="9.6" customHeight="1" x14ac:dyDescent="0.25">
      <c r="A59" s="100"/>
      <c r="B59" s="105"/>
      <c r="C59" s="91"/>
      <c r="D59" s="58"/>
      <c r="E59" s="58"/>
      <c r="F59" s="46"/>
      <c r="G59" s="46"/>
      <c r="H59" s="46"/>
      <c r="I59" s="36"/>
      <c r="J59" s="34"/>
      <c r="K59" s="106"/>
      <c r="L59" s="34"/>
      <c r="M59" s="21" t="s">
        <v>25</v>
      </c>
      <c r="N59" s="21" t="s">
        <v>16</v>
      </c>
      <c r="O59" s="13">
        <v>2970</v>
      </c>
      <c r="P59" s="22">
        <f>+L56/O59</f>
        <v>1244.9494949494949</v>
      </c>
      <c r="Q59" s="37"/>
      <c r="R59" s="37"/>
      <c r="S59" s="37"/>
    </row>
    <row r="61" spans="1:19" x14ac:dyDescent="0.25">
      <c r="A61" s="38" t="s">
        <v>73</v>
      </c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40"/>
    </row>
    <row r="62" spans="1:19" ht="15" customHeight="1" x14ac:dyDescent="0.25">
      <c r="A62" s="41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40"/>
    </row>
  </sheetData>
  <mergeCells count="206">
    <mergeCell ref="L48:L51"/>
    <mergeCell ref="S20:S23"/>
    <mergeCell ref="A56:A59"/>
    <mergeCell ref="C56:C59"/>
    <mergeCell ref="K56:K59"/>
    <mergeCell ref="L56:L59"/>
    <mergeCell ref="L52:L55"/>
    <mergeCell ref="R52:R55"/>
    <mergeCell ref="Q52:Q55"/>
    <mergeCell ref="S52:S55"/>
    <mergeCell ref="R44:R47"/>
    <mergeCell ref="Q44:Q47"/>
    <mergeCell ref="S44:S47"/>
    <mergeCell ref="A52:A55"/>
    <mergeCell ref="C52:C55"/>
    <mergeCell ref="K52:K55"/>
    <mergeCell ref="A44:A47"/>
    <mergeCell ref="C44:C47"/>
    <mergeCell ref="K44:K47"/>
    <mergeCell ref="D44:D47"/>
    <mergeCell ref="D52:D55"/>
    <mergeCell ref="Q48:Q51"/>
    <mergeCell ref="R48:R51"/>
    <mergeCell ref="S48:S51"/>
    <mergeCell ref="K48:K51"/>
    <mergeCell ref="A24:A27"/>
    <mergeCell ref="C24:C27"/>
    <mergeCell ref="F24:F27"/>
    <mergeCell ref="G24:G27"/>
    <mergeCell ref="Q56:Q59"/>
    <mergeCell ref="R56:R59"/>
    <mergeCell ref="S56:S59"/>
    <mergeCell ref="B4:B59"/>
    <mergeCell ref="L44:L47"/>
    <mergeCell ref="L36:L39"/>
    <mergeCell ref="R36:R39"/>
    <mergeCell ref="Q36:Q39"/>
    <mergeCell ref="S36:S39"/>
    <mergeCell ref="R28:R31"/>
    <mergeCell ref="Q28:Q31"/>
    <mergeCell ref="S28:S31"/>
    <mergeCell ref="L28:L31"/>
    <mergeCell ref="L40:L43"/>
    <mergeCell ref="R40:R43"/>
    <mergeCell ref="Q40:Q43"/>
    <mergeCell ref="S40:S43"/>
    <mergeCell ref="Q32:Q35"/>
    <mergeCell ref="R32:R35"/>
    <mergeCell ref="S32:S35"/>
    <mergeCell ref="A48:A51"/>
    <mergeCell ref="C48:C51"/>
    <mergeCell ref="I44:I47"/>
    <mergeCell ref="F48:F51"/>
    <mergeCell ref="G48:G51"/>
    <mergeCell ref="H48:H51"/>
    <mergeCell ref="Q12:Q15"/>
    <mergeCell ref="R12:R15"/>
    <mergeCell ref="S12:S15"/>
    <mergeCell ref="L12:L15"/>
    <mergeCell ref="A36:A39"/>
    <mergeCell ref="C36:C39"/>
    <mergeCell ref="K36:K39"/>
    <mergeCell ref="A28:A31"/>
    <mergeCell ref="C28:C31"/>
    <mergeCell ref="K28:K31"/>
    <mergeCell ref="D28:D31"/>
    <mergeCell ref="I28:I31"/>
    <mergeCell ref="F28:F31"/>
    <mergeCell ref="G28:G31"/>
    <mergeCell ref="H28:H31"/>
    <mergeCell ref="A32:A35"/>
    <mergeCell ref="C32:C35"/>
    <mergeCell ref="A40:A43"/>
    <mergeCell ref="C40:C43"/>
    <mergeCell ref="F40:F43"/>
    <mergeCell ref="G40:G43"/>
    <mergeCell ref="K40:K43"/>
    <mergeCell ref="I32:I35"/>
    <mergeCell ref="I36:I39"/>
    <mergeCell ref="I40:I43"/>
    <mergeCell ref="H32:H35"/>
    <mergeCell ref="F36:F39"/>
    <mergeCell ref="G36:G39"/>
    <mergeCell ref="H36:H39"/>
    <mergeCell ref="G32:G35"/>
    <mergeCell ref="K32:K35"/>
    <mergeCell ref="K24:K27"/>
    <mergeCell ref="Q8:Q11"/>
    <mergeCell ref="R8:R11"/>
    <mergeCell ref="D20:D23"/>
    <mergeCell ref="D24:D27"/>
    <mergeCell ref="I20:I23"/>
    <mergeCell ref="I24:I27"/>
    <mergeCell ref="F20:F23"/>
    <mergeCell ref="G20:G23"/>
    <mergeCell ref="H20:H23"/>
    <mergeCell ref="H24:H27"/>
    <mergeCell ref="L24:L27"/>
    <mergeCell ref="Q24:Q27"/>
    <mergeCell ref="R24:R27"/>
    <mergeCell ref="Q16:Q19"/>
    <mergeCell ref="R16:R19"/>
    <mergeCell ref="L20:L23"/>
    <mergeCell ref="R20:R23"/>
    <mergeCell ref="Q20:Q23"/>
    <mergeCell ref="A20:A23"/>
    <mergeCell ref="C20:C23"/>
    <mergeCell ref="K20:K23"/>
    <mergeCell ref="A12:A15"/>
    <mergeCell ref="A16:A19"/>
    <mergeCell ref="C16:C19"/>
    <mergeCell ref="K16:K19"/>
    <mergeCell ref="Q4:Q7"/>
    <mergeCell ref="R4:R7"/>
    <mergeCell ref="J20:J23"/>
    <mergeCell ref="S4:S7"/>
    <mergeCell ref="A8:A11"/>
    <mergeCell ref="C8:C11"/>
    <mergeCell ref="K8:K11"/>
    <mergeCell ref="S16:S19"/>
    <mergeCell ref="C12:C15"/>
    <mergeCell ref="K12:K15"/>
    <mergeCell ref="F16:F19"/>
    <mergeCell ref="G16:G19"/>
    <mergeCell ref="J8:J11"/>
    <mergeCell ref="J12:J15"/>
    <mergeCell ref="J16:J19"/>
    <mergeCell ref="A1:S1"/>
    <mergeCell ref="K2:P2"/>
    <mergeCell ref="Q2:S2"/>
    <mergeCell ref="A2:C2"/>
    <mergeCell ref="D4:D7"/>
    <mergeCell ref="D8:D11"/>
    <mergeCell ref="D12:D15"/>
    <mergeCell ref="I4:I7"/>
    <mergeCell ref="I8:I11"/>
    <mergeCell ref="I12:I15"/>
    <mergeCell ref="M3:O3"/>
    <mergeCell ref="A4:A7"/>
    <mergeCell ref="C4:C7"/>
    <mergeCell ref="K4:K7"/>
    <mergeCell ref="L4:L7"/>
    <mergeCell ref="L8:L11"/>
    <mergeCell ref="F8:F11"/>
    <mergeCell ref="G8:G11"/>
    <mergeCell ref="H8:H11"/>
    <mergeCell ref="F12:F15"/>
    <mergeCell ref="G12:G15"/>
    <mergeCell ref="H12:H15"/>
    <mergeCell ref="S8:S11"/>
    <mergeCell ref="J4:J7"/>
    <mergeCell ref="D56:D59"/>
    <mergeCell ref="E4:E7"/>
    <mergeCell ref="E8:E11"/>
    <mergeCell ref="E12:E15"/>
    <mergeCell ref="E16:E19"/>
    <mergeCell ref="E20:E23"/>
    <mergeCell ref="E24:E27"/>
    <mergeCell ref="E28:E31"/>
    <mergeCell ref="E32:E35"/>
    <mergeCell ref="E36:E39"/>
    <mergeCell ref="E40:E43"/>
    <mergeCell ref="E44:E47"/>
    <mergeCell ref="E48:E51"/>
    <mergeCell ref="E52:E55"/>
    <mergeCell ref="E56:E59"/>
    <mergeCell ref="D16:D19"/>
    <mergeCell ref="D32:D35"/>
    <mergeCell ref="D36:D39"/>
    <mergeCell ref="D40:D43"/>
    <mergeCell ref="D48:D51"/>
    <mergeCell ref="F52:F55"/>
    <mergeCell ref="G52:G55"/>
    <mergeCell ref="H52:H55"/>
    <mergeCell ref="I56:I59"/>
    <mergeCell ref="F4:F7"/>
    <mergeCell ref="G4:G7"/>
    <mergeCell ref="H4:H7"/>
    <mergeCell ref="H16:H19"/>
    <mergeCell ref="I52:I55"/>
    <mergeCell ref="I48:I51"/>
    <mergeCell ref="F32:F35"/>
    <mergeCell ref="J56:J59"/>
    <mergeCell ref="L16:L19"/>
    <mergeCell ref="I16:I19"/>
    <mergeCell ref="L32:L35"/>
    <mergeCell ref="S24:S27"/>
    <mergeCell ref="A61:S62"/>
    <mergeCell ref="T2:U2"/>
    <mergeCell ref="J24:J27"/>
    <mergeCell ref="J28:J31"/>
    <mergeCell ref="J32:J35"/>
    <mergeCell ref="J36:J39"/>
    <mergeCell ref="J40:J43"/>
    <mergeCell ref="J44:J47"/>
    <mergeCell ref="J48:J51"/>
    <mergeCell ref="J52:J55"/>
    <mergeCell ref="F56:F59"/>
    <mergeCell ref="G56:G59"/>
    <mergeCell ref="H56:H59"/>
    <mergeCell ref="I2:J2"/>
    <mergeCell ref="D2:H2"/>
    <mergeCell ref="H40:H43"/>
    <mergeCell ref="F44:F47"/>
    <mergeCell ref="G44:G47"/>
    <mergeCell ref="H44:H47"/>
  </mergeCells>
  <printOptions horizontalCentered="1"/>
  <pageMargins left="0.98425196850393704" right="0.98425196850393704" top="0.98425196850393704" bottom="0.98425196850393704" header="0.51181102362204722" footer="0.51181102362204722"/>
  <pageSetup paperSize="9" scale="67" fitToHeight="0" orientation="landscape" r:id="rId1"/>
  <rowBreaks count="1" manualBreakCount="1">
    <brk id="62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59"/>
  <sheetViews>
    <sheetView topLeftCell="A31" zoomScaleNormal="100" workbookViewId="0">
      <selection activeCell="I22" sqref="I22"/>
    </sheetView>
  </sheetViews>
  <sheetFormatPr defaultRowHeight="15" x14ac:dyDescent="0.25"/>
  <cols>
    <col min="2" max="2" width="9.85546875" bestFit="1" customWidth="1"/>
    <col min="3" max="3" width="21.5703125" customWidth="1"/>
    <col min="5" max="5" width="17" customWidth="1"/>
    <col min="6" max="6" width="13.140625" customWidth="1"/>
    <col min="9" max="9" width="15" bestFit="1" customWidth="1"/>
  </cols>
  <sheetData>
    <row r="2" spans="2:9" x14ac:dyDescent="0.25">
      <c r="B2" s="112" t="s">
        <v>67</v>
      </c>
      <c r="C2" s="112"/>
      <c r="D2" s="112"/>
      <c r="E2" s="112"/>
      <c r="F2" s="112" t="s">
        <v>75</v>
      </c>
      <c r="G2" s="112"/>
    </row>
    <row r="3" spans="2:9" ht="45" x14ac:dyDescent="0.25">
      <c r="B3" s="29"/>
      <c r="C3" s="31" t="s">
        <v>68</v>
      </c>
      <c r="D3" s="115" t="s">
        <v>53</v>
      </c>
      <c r="E3" s="115"/>
      <c r="F3" s="31" t="s">
        <v>77</v>
      </c>
      <c r="G3" s="31" t="s">
        <v>76</v>
      </c>
      <c r="I3" s="32"/>
    </row>
    <row r="4" spans="2:9" ht="15" customHeight="1" x14ac:dyDescent="0.25">
      <c r="B4" s="113" t="s">
        <v>54</v>
      </c>
      <c r="C4" s="114">
        <f>177480000*0.6</f>
        <v>106488000</v>
      </c>
      <c r="D4" s="116">
        <f>177480000*0.1</f>
        <v>17748000</v>
      </c>
      <c r="E4" s="117"/>
      <c r="F4" s="112" t="s">
        <v>27</v>
      </c>
      <c r="G4" s="111" t="s">
        <v>30</v>
      </c>
      <c r="I4" s="33"/>
    </row>
    <row r="5" spans="2:9" x14ac:dyDescent="0.25">
      <c r="B5" s="113"/>
      <c r="C5" s="114"/>
      <c r="D5" s="118"/>
      <c r="E5" s="119"/>
      <c r="F5" s="112"/>
      <c r="G5" s="111"/>
      <c r="I5" s="33"/>
    </row>
    <row r="6" spans="2:9" x14ac:dyDescent="0.25">
      <c r="B6" s="113"/>
      <c r="C6" s="114"/>
      <c r="D6" s="118"/>
      <c r="E6" s="119"/>
      <c r="F6" s="112"/>
      <c r="G6" s="111"/>
      <c r="I6" s="33"/>
    </row>
    <row r="7" spans="2:9" x14ac:dyDescent="0.25">
      <c r="B7" s="113"/>
      <c r="C7" s="114"/>
      <c r="D7" s="120"/>
      <c r="E7" s="121"/>
      <c r="F7" s="112"/>
      <c r="G7" s="111"/>
      <c r="I7" s="33"/>
    </row>
    <row r="8" spans="2:9" ht="15" customHeight="1" x14ac:dyDescent="0.25">
      <c r="B8" s="113" t="s">
        <v>55</v>
      </c>
      <c r="C8" s="114">
        <f>124236000*0.6</f>
        <v>74541600</v>
      </c>
      <c r="D8" s="116">
        <f>124236000*0.1</f>
        <v>12423600</v>
      </c>
      <c r="E8" s="117"/>
      <c r="F8" s="112" t="s">
        <v>4</v>
      </c>
      <c r="G8" s="111" t="s">
        <v>30</v>
      </c>
      <c r="I8" s="33"/>
    </row>
    <row r="9" spans="2:9" x14ac:dyDescent="0.25">
      <c r="B9" s="113"/>
      <c r="C9" s="114"/>
      <c r="D9" s="118"/>
      <c r="E9" s="119"/>
      <c r="F9" s="112"/>
      <c r="G9" s="111"/>
      <c r="I9" s="33"/>
    </row>
    <row r="10" spans="2:9" x14ac:dyDescent="0.25">
      <c r="B10" s="113"/>
      <c r="C10" s="114"/>
      <c r="D10" s="118"/>
      <c r="E10" s="119"/>
      <c r="F10" s="112"/>
      <c r="G10" s="111"/>
      <c r="I10" s="33"/>
    </row>
    <row r="11" spans="2:9" x14ac:dyDescent="0.25">
      <c r="B11" s="113"/>
      <c r="C11" s="114"/>
      <c r="D11" s="120"/>
      <c r="E11" s="121"/>
      <c r="F11" s="112"/>
      <c r="G11" s="111"/>
      <c r="I11" s="33"/>
    </row>
    <row r="12" spans="2:9" ht="15" customHeight="1" x14ac:dyDescent="0.25">
      <c r="B12" s="113" t="s">
        <v>57</v>
      </c>
      <c r="C12" s="114">
        <f>106488000*0.6</f>
        <v>63892800</v>
      </c>
      <c r="D12" s="116">
        <f>106488000*0.1</f>
        <v>10648800</v>
      </c>
      <c r="E12" s="117"/>
      <c r="F12" s="111" t="s">
        <v>28</v>
      </c>
      <c r="G12" s="111" t="s">
        <v>30</v>
      </c>
      <c r="I12" s="33"/>
    </row>
    <row r="13" spans="2:9" x14ac:dyDescent="0.25">
      <c r="B13" s="113"/>
      <c r="C13" s="114"/>
      <c r="D13" s="118"/>
      <c r="E13" s="119"/>
      <c r="F13" s="111"/>
      <c r="G13" s="111"/>
      <c r="I13" s="33"/>
    </row>
    <row r="14" spans="2:9" x14ac:dyDescent="0.25">
      <c r="B14" s="113"/>
      <c r="C14" s="114"/>
      <c r="D14" s="118"/>
      <c r="E14" s="119"/>
      <c r="F14" s="111"/>
      <c r="G14" s="111"/>
      <c r="I14" s="33"/>
    </row>
    <row r="15" spans="2:9" x14ac:dyDescent="0.25">
      <c r="B15" s="113"/>
      <c r="C15" s="114"/>
      <c r="D15" s="120"/>
      <c r="E15" s="121"/>
      <c r="F15" s="111"/>
      <c r="G15" s="111"/>
      <c r="I15" s="33"/>
    </row>
    <row r="16" spans="2:9" ht="15" customHeight="1" x14ac:dyDescent="0.25">
      <c r="B16" s="113" t="s">
        <v>56</v>
      </c>
      <c r="C16" s="114">
        <f>88740000*0.6</f>
        <v>53244000</v>
      </c>
      <c r="D16" s="116">
        <f>88740000*0.1</f>
        <v>8874000</v>
      </c>
      <c r="E16" s="117">
        <f t="shared" ref="D16:E16" si="0">88740000*0.6</f>
        <v>53244000</v>
      </c>
      <c r="F16" s="111" t="s">
        <v>5</v>
      </c>
      <c r="G16" s="111" t="s">
        <v>7</v>
      </c>
    </row>
    <row r="17" spans="2:7" x14ac:dyDescent="0.25">
      <c r="B17" s="113"/>
      <c r="C17" s="114"/>
      <c r="D17" s="118"/>
      <c r="E17" s="119"/>
      <c r="F17" s="111"/>
      <c r="G17" s="111"/>
    </row>
    <row r="18" spans="2:7" x14ac:dyDescent="0.25">
      <c r="B18" s="113"/>
      <c r="C18" s="114"/>
      <c r="D18" s="118"/>
      <c r="E18" s="119"/>
      <c r="F18" s="111"/>
      <c r="G18" s="111"/>
    </row>
    <row r="19" spans="2:7" x14ac:dyDescent="0.25">
      <c r="B19" s="113"/>
      <c r="C19" s="114"/>
      <c r="D19" s="120"/>
      <c r="E19" s="121"/>
      <c r="F19" s="111"/>
      <c r="G19" s="111"/>
    </row>
    <row r="20" spans="2:7" ht="15" customHeight="1" x14ac:dyDescent="0.25">
      <c r="B20" s="113" t="s">
        <v>58</v>
      </c>
      <c r="C20" s="114">
        <f>73950000*0.6</f>
        <v>44370000</v>
      </c>
      <c r="D20" s="116">
        <f>73950000*0.1</f>
        <v>7395000</v>
      </c>
      <c r="E20" s="117"/>
      <c r="F20" s="111" t="s">
        <v>29</v>
      </c>
      <c r="G20" s="111" t="s">
        <v>31</v>
      </c>
    </row>
    <row r="21" spans="2:7" x14ac:dyDescent="0.25">
      <c r="B21" s="113"/>
      <c r="C21" s="114"/>
      <c r="D21" s="118"/>
      <c r="E21" s="119"/>
      <c r="F21" s="111"/>
      <c r="G21" s="111"/>
    </row>
    <row r="22" spans="2:7" x14ac:dyDescent="0.25">
      <c r="B22" s="113"/>
      <c r="C22" s="114"/>
      <c r="D22" s="118"/>
      <c r="E22" s="119"/>
      <c r="F22" s="111"/>
      <c r="G22" s="111"/>
    </row>
    <row r="23" spans="2:7" x14ac:dyDescent="0.25">
      <c r="B23" s="113"/>
      <c r="C23" s="114"/>
      <c r="D23" s="120"/>
      <c r="E23" s="121"/>
      <c r="F23" s="111"/>
      <c r="G23" s="111"/>
    </row>
    <row r="24" spans="2:7" ht="15" customHeight="1" x14ac:dyDescent="0.25">
      <c r="B24" s="113" t="s">
        <v>59</v>
      </c>
      <c r="C24" s="114">
        <f>59160000*0.6</f>
        <v>35496000</v>
      </c>
      <c r="D24" s="116">
        <f>59160000*0.1</f>
        <v>5916000</v>
      </c>
      <c r="E24" s="117"/>
      <c r="F24" s="111" t="s">
        <v>29</v>
      </c>
      <c r="G24" s="111" t="s">
        <v>8</v>
      </c>
    </row>
    <row r="25" spans="2:7" x14ac:dyDescent="0.25">
      <c r="B25" s="113"/>
      <c r="C25" s="114"/>
      <c r="D25" s="118"/>
      <c r="E25" s="119"/>
      <c r="F25" s="111"/>
      <c r="G25" s="111"/>
    </row>
    <row r="26" spans="2:7" x14ac:dyDescent="0.25">
      <c r="B26" s="113"/>
      <c r="C26" s="114"/>
      <c r="D26" s="118"/>
      <c r="E26" s="119"/>
      <c r="F26" s="111"/>
      <c r="G26" s="111"/>
    </row>
    <row r="27" spans="2:7" x14ac:dyDescent="0.25">
      <c r="B27" s="113"/>
      <c r="C27" s="114"/>
      <c r="D27" s="120"/>
      <c r="E27" s="121"/>
      <c r="F27" s="111"/>
      <c r="G27" s="111"/>
    </row>
    <row r="28" spans="2:7" ht="15" customHeight="1" x14ac:dyDescent="0.25">
      <c r="B28" s="113" t="s">
        <v>60</v>
      </c>
      <c r="C28" s="114">
        <f>44370000*0.6</f>
        <v>26622000</v>
      </c>
      <c r="D28" s="116">
        <f>44370000*0.1</f>
        <v>4437000</v>
      </c>
      <c r="E28" s="117"/>
      <c r="F28" s="111" t="s">
        <v>6</v>
      </c>
      <c r="G28" s="111" t="s">
        <v>32</v>
      </c>
    </row>
    <row r="29" spans="2:7" x14ac:dyDescent="0.25">
      <c r="B29" s="113"/>
      <c r="C29" s="114"/>
      <c r="D29" s="118"/>
      <c r="E29" s="119"/>
      <c r="F29" s="111"/>
      <c r="G29" s="111"/>
    </row>
    <row r="30" spans="2:7" x14ac:dyDescent="0.25">
      <c r="B30" s="113"/>
      <c r="C30" s="114"/>
      <c r="D30" s="118"/>
      <c r="E30" s="119"/>
      <c r="F30" s="111"/>
      <c r="G30" s="111"/>
    </row>
    <row r="31" spans="2:7" x14ac:dyDescent="0.25">
      <c r="B31" s="113"/>
      <c r="C31" s="114"/>
      <c r="D31" s="120"/>
      <c r="E31" s="121"/>
      <c r="F31" s="111"/>
      <c r="G31" s="111"/>
    </row>
    <row r="32" spans="2:7" ht="15" customHeight="1" x14ac:dyDescent="0.25">
      <c r="B32" s="113" t="s">
        <v>61</v>
      </c>
      <c r="C32" s="114">
        <f>29580000*0.6</f>
        <v>17748000</v>
      </c>
      <c r="D32" s="116">
        <f>29580000*0.1</f>
        <v>2958000</v>
      </c>
      <c r="E32" s="117"/>
      <c r="F32" s="111" t="s">
        <v>30</v>
      </c>
      <c r="G32" s="111" t="s">
        <v>32</v>
      </c>
    </row>
    <row r="33" spans="2:7" x14ac:dyDescent="0.25">
      <c r="B33" s="113"/>
      <c r="C33" s="114"/>
      <c r="D33" s="118"/>
      <c r="E33" s="119"/>
      <c r="F33" s="111"/>
      <c r="G33" s="111"/>
    </row>
    <row r="34" spans="2:7" x14ac:dyDescent="0.25">
      <c r="B34" s="113"/>
      <c r="C34" s="114"/>
      <c r="D34" s="118"/>
      <c r="E34" s="119"/>
      <c r="F34" s="111"/>
      <c r="G34" s="111"/>
    </row>
    <row r="35" spans="2:7" x14ac:dyDescent="0.25">
      <c r="B35" s="113"/>
      <c r="C35" s="114"/>
      <c r="D35" s="120"/>
      <c r="E35" s="121"/>
      <c r="F35" s="111"/>
      <c r="G35" s="111"/>
    </row>
    <row r="36" spans="2:7" ht="15" customHeight="1" x14ac:dyDescent="0.25">
      <c r="B36" s="113" t="s">
        <v>62</v>
      </c>
      <c r="C36" s="114">
        <f>17748000*0.6</f>
        <v>10648800</v>
      </c>
      <c r="D36" s="116">
        <f>17748000*0.1</f>
        <v>1774800</v>
      </c>
      <c r="E36" s="117"/>
      <c r="F36" s="111" t="s">
        <v>30</v>
      </c>
      <c r="G36" s="111" t="s">
        <v>9</v>
      </c>
    </row>
    <row r="37" spans="2:7" x14ac:dyDescent="0.25">
      <c r="B37" s="113"/>
      <c r="C37" s="114"/>
      <c r="D37" s="118"/>
      <c r="E37" s="119"/>
      <c r="F37" s="111"/>
      <c r="G37" s="111"/>
    </row>
    <row r="38" spans="2:7" x14ac:dyDescent="0.25">
      <c r="B38" s="113"/>
      <c r="C38" s="114"/>
      <c r="D38" s="118"/>
      <c r="E38" s="119"/>
      <c r="F38" s="111"/>
      <c r="G38" s="111"/>
    </row>
    <row r="39" spans="2:7" x14ac:dyDescent="0.25">
      <c r="B39" s="113"/>
      <c r="C39" s="114"/>
      <c r="D39" s="120"/>
      <c r="E39" s="121"/>
      <c r="F39" s="111"/>
      <c r="G39" s="111"/>
    </row>
    <row r="40" spans="2:7" ht="15" customHeight="1" x14ac:dyDescent="0.25">
      <c r="B40" s="113" t="s">
        <v>63</v>
      </c>
      <c r="C40" s="114">
        <f>8874000*0.6</f>
        <v>5324400</v>
      </c>
      <c r="D40" s="116">
        <f>8874000*0.1</f>
        <v>887400</v>
      </c>
      <c r="E40" s="117"/>
      <c r="F40" s="111" t="s">
        <v>8</v>
      </c>
      <c r="G40" s="111" t="s">
        <v>9</v>
      </c>
    </row>
    <row r="41" spans="2:7" x14ac:dyDescent="0.25">
      <c r="B41" s="113"/>
      <c r="C41" s="114"/>
      <c r="D41" s="118"/>
      <c r="E41" s="119"/>
      <c r="F41" s="111"/>
      <c r="G41" s="111"/>
    </row>
    <row r="42" spans="2:7" x14ac:dyDescent="0.25">
      <c r="B42" s="113"/>
      <c r="C42" s="114"/>
      <c r="D42" s="118"/>
      <c r="E42" s="119"/>
      <c r="F42" s="111"/>
      <c r="G42" s="111"/>
    </row>
    <row r="43" spans="2:7" x14ac:dyDescent="0.25">
      <c r="B43" s="113"/>
      <c r="C43" s="114"/>
      <c r="D43" s="120"/>
      <c r="E43" s="121"/>
      <c r="F43" s="111"/>
      <c r="G43" s="111"/>
    </row>
    <row r="44" spans="2:7" ht="15" customHeight="1" x14ac:dyDescent="0.25">
      <c r="B44" s="113" t="s">
        <v>64</v>
      </c>
      <c r="C44" s="114">
        <f>7542900*0.6</f>
        <v>4525740</v>
      </c>
      <c r="D44" s="116">
        <f>7542900*0.1</f>
        <v>754290</v>
      </c>
      <c r="E44" s="117"/>
      <c r="F44" s="111" t="s">
        <v>8</v>
      </c>
      <c r="G44" s="111" t="s">
        <v>9</v>
      </c>
    </row>
    <row r="45" spans="2:7" x14ac:dyDescent="0.25">
      <c r="B45" s="113"/>
      <c r="C45" s="114"/>
      <c r="D45" s="118"/>
      <c r="E45" s="119"/>
      <c r="F45" s="111"/>
      <c r="G45" s="111"/>
    </row>
    <row r="46" spans="2:7" x14ac:dyDescent="0.25">
      <c r="B46" s="113"/>
      <c r="C46" s="114"/>
      <c r="D46" s="118"/>
      <c r="E46" s="119"/>
      <c r="F46" s="111"/>
      <c r="G46" s="111"/>
    </row>
    <row r="47" spans="2:7" x14ac:dyDescent="0.25">
      <c r="B47" s="113"/>
      <c r="C47" s="114"/>
      <c r="D47" s="120"/>
      <c r="E47" s="121"/>
      <c r="F47" s="111"/>
      <c r="G47" s="111"/>
    </row>
    <row r="48" spans="2:7" ht="15" customHeight="1" x14ac:dyDescent="0.25">
      <c r="B48" s="113" t="s">
        <v>65</v>
      </c>
      <c r="C48" s="114">
        <f>6211800*0.6</f>
        <v>3727080</v>
      </c>
      <c r="D48" s="116">
        <f>6211800*0.1</f>
        <v>621180</v>
      </c>
      <c r="E48" s="117"/>
      <c r="F48" s="111" t="s">
        <v>32</v>
      </c>
      <c r="G48" s="111" t="s">
        <v>9</v>
      </c>
    </row>
    <row r="49" spans="2:7" x14ac:dyDescent="0.25">
      <c r="B49" s="113"/>
      <c r="C49" s="114"/>
      <c r="D49" s="118"/>
      <c r="E49" s="119"/>
      <c r="F49" s="111"/>
      <c r="G49" s="111"/>
    </row>
    <row r="50" spans="2:7" x14ac:dyDescent="0.25">
      <c r="B50" s="113"/>
      <c r="C50" s="114"/>
      <c r="D50" s="118"/>
      <c r="E50" s="119"/>
      <c r="F50" s="111"/>
      <c r="G50" s="111"/>
    </row>
    <row r="51" spans="2:7" x14ac:dyDescent="0.25">
      <c r="B51" s="113"/>
      <c r="C51" s="114"/>
      <c r="D51" s="120"/>
      <c r="E51" s="121"/>
      <c r="F51" s="111"/>
      <c r="G51" s="111"/>
    </row>
    <row r="52" spans="2:7" ht="15" customHeight="1" x14ac:dyDescent="0.25">
      <c r="B52" s="113" t="s">
        <v>69</v>
      </c>
      <c r="C52" s="114">
        <f>4437000*0.6</f>
        <v>2662200</v>
      </c>
      <c r="D52" s="116">
        <f>4437000*0.1</f>
        <v>443700</v>
      </c>
      <c r="E52" s="117"/>
      <c r="F52" s="111" t="s">
        <v>32</v>
      </c>
      <c r="G52" s="111" t="s">
        <v>9</v>
      </c>
    </row>
    <row r="53" spans="2:7" x14ac:dyDescent="0.25">
      <c r="B53" s="113"/>
      <c r="C53" s="114"/>
      <c r="D53" s="118"/>
      <c r="E53" s="119"/>
      <c r="F53" s="111"/>
      <c r="G53" s="111"/>
    </row>
    <row r="54" spans="2:7" x14ac:dyDescent="0.25">
      <c r="B54" s="113"/>
      <c r="C54" s="114"/>
      <c r="D54" s="118"/>
      <c r="E54" s="119"/>
      <c r="F54" s="111"/>
      <c r="G54" s="111"/>
    </row>
    <row r="55" spans="2:7" x14ac:dyDescent="0.25">
      <c r="B55" s="113"/>
      <c r="C55" s="114"/>
      <c r="D55" s="120"/>
      <c r="E55" s="121"/>
      <c r="F55" s="111"/>
      <c r="G55" s="111"/>
    </row>
    <row r="56" spans="2:7" ht="15" customHeight="1" x14ac:dyDescent="0.25">
      <c r="B56" s="113" t="s">
        <v>66</v>
      </c>
      <c r="C56" s="114"/>
      <c r="D56" s="114"/>
      <c r="E56" s="114"/>
      <c r="F56" s="111" t="s">
        <v>9</v>
      </c>
      <c r="G56" s="111" t="s">
        <v>9</v>
      </c>
    </row>
    <row r="57" spans="2:7" x14ac:dyDescent="0.25">
      <c r="B57" s="113"/>
      <c r="C57" s="114"/>
      <c r="D57" s="114"/>
      <c r="E57" s="114"/>
      <c r="F57" s="111"/>
      <c r="G57" s="111"/>
    </row>
    <row r="58" spans="2:7" x14ac:dyDescent="0.25">
      <c r="B58" s="113"/>
      <c r="C58" s="114"/>
      <c r="D58" s="114"/>
      <c r="E58" s="114"/>
      <c r="F58" s="111"/>
      <c r="G58" s="111"/>
    </row>
    <row r="59" spans="2:7" x14ac:dyDescent="0.25">
      <c r="B59" s="113"/>
      <c r="C59" s="114"/>
      <c r="D59" s="114"/>
      <c r="E59" s="114"/>
      <c r="F59" s="111"/>
      <c r="G59" s="111"/>
    </row>
  </sheetData>
  <mergeCells count="73">
    <mergeCell ref="B2:E2"/>
    <mergeCell ref="D3:E3"/>
    <mergeCell ref="B4:B7"/>
    <mergeCell ref="D4:E7"/>
    <mergeCell ref="C52:C55"/>
    <mergeCell ref="C44:C47"/>
    <mergeCell ref="C48:C51"/>
    <mergeCell ref="C36:C39"/>
    <mergeCell ref="C40:C43"/>
    <mergeCell ref="C28:C31"/>
    <mergeCell ref="C32:C35"/>
    <mergeCell ref="C20:C23"/>
    <mergeCell ref="C24:C27"/>
    <mergeCell ref="C12:C15"/>
    <mergeCell ref="C16:C19"/>
    <mergeCell ref="C4:C7"/>
    <mergeCell ref="B8:B11"/>
    <mergeCell ref="D8:E11"/>
    <mergeCell ref="B12:B15"/>
    <mergeCell ref="D12:E15"/>
    <mergeCell ref="B16:B19"/>
    <mergeCell ref="D16:E19"/>
    <mergeCell ref="C8:C11"/>
    <mergeCell ref="B20:B23"/>
    <mergeCell ref="D20:E23"/>
    <mergeCell ref="B24:B27"/>
    <mergeCell ref="D24:E27"/>
    <mergeCell ref="B28:B31"/>
    <mergeCell ref="D28:E31"/>
    <mergeCell ref="B32:B35"/>
    <mergeCell ref="D32:E35"/>
    <mergeCell ref="B36:B39"/>
    <mergeCell ref="D36:E39"/>
    <mergeCell ref="B40:B43"/>
    <mergeCell ref="D40:E43"/>
    <mergeCell ref="B56:B59"/>
    <mergeCell ref="D56:E59"/>
    <mergeCell ref="B44:B47"/>
    <mergeCell ref="D44:E47"/>
    <mergeCell ref="B48:B51"/>
    <mergeCell ref="D48:E51"/>
    <mergeCell ref="B52:B55"/>
    <mergeCell ref="D52:E55"/>
    <mergeCell ref="C56:C59"/>
    <mergeCell ref="F8:F11"/>
    <mergeCell ref="G8:G11"/>
    <mergeCell ref="F4:F7"/>
    <mergeCell ref="G4:G7"/>
    <mergeCell ref="F2:G2"/>
    <mergeCell ref="F20:F23"/>
    <mergeCell ref="G20:G23"/>
    <mergeCell ref="F16:F19"/>
    <mergeCell ref="G16:G19"/>
    <mergeCell ref="F12:F15"/>
    <mergeCell ref="G12:G15"/>
    <mergeCell ref="F32:F35"/>
    <mergeCell ref="G32:G35"/>
    <mergeCell ref="F28:F31"/>
    <mergeCell ref="G28:G31"/>
    <mergeCell ref="F24:F27"/>
    <mergeCell ref="G24:G27"/>
    <mergeCell ref="F44:F47"/>
    <mergeCell ref="G44:G47"/>
    <mergeCell ref="F40:F43"/>
    <mergeCell ref="G40:G43"/>
    <mergeCell ref="F36:F39"/>
    <mergeCell ref="G36:G39"/>
    <mergeCell ref="F56:F59"/>
    <mergeCell ref="G56:G59"/>
    <mergeCell ref="F52:F55"/>
    <mergeCell ref="G52:G55"/>
    <mergeCell ref="F48:F51"/>
    <mergeCell ref="G48:G51"/>
  </mergeCells>
  <pageMargins left="0.7" right="0.7" top="0.75" bottom="0.75" header="0.3" footer="0.3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2021</vt:lpstr>
      <vt:lpstr>İş ortaklığı</vt:lpstr>
      <vt:lpstr>'2021'!Yazdırma_Alanı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GERVAN</dc:creator>
  <cp:lastModifiedBy>fatih suer</cp:lastModifiedBy>
  <cp:lastPrinted>2021-03-24T05:58:12Z</cp:lastPrinted>
  <dcterms:created xsi:type="dcterms:W3CDTF">2019-11-02T14:38:29Z</dcterms:created>
  <dcterms:modified xsi:type="dcterms:W3CDTF">2021-08-09T07:22:35Z</dcterms:modified>
</cp:coreProperties>
</file>