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ogukan.aras\Desktop\"/>
    </mc:Choice>
  </mc:AlternateContent>
  <bookViews>
    <workbookView xWindow="0" yWindow="14400" windowWidth="14895" windowHeight="11955" activeTab="3"/>
  </bookViews>
  <sheets>
    <sheet name="Diploma" sheetId="2" r:id="rId1"/>
    <sheet name="Bilanço" sheetId="3" r:id="rId2"/>
    <sheet name="Ciro" sheetId="4" r:id="rId3"/>
    <sheet name="İş Deneyim" sheetId="5" r:id="rId4"/>
  </sheets>
  <definedNames>
    <definedName name="_xlnm._FilterDatabase" localSheetId="3" hidden="1">'İş Deneyim'!$A$1:$O$18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21" i="5" l="1"/>
  <c r="AD30" i="5" l="1"/>
  <c r="AD29" i="5"/>
  <c r="AE29" i="5" l="1"/>
  <c r="AE30" i="5"/>
  <c r="AD23" i="5" l="1"/>
  <c r="AE23" i="5" s="1"/>
  <c r="AD24" i="5"/>
  <c r="AE24" i="5" s="1"/>
  <c r="AD25" i="5"/>
  <c r="AE25" i="5" s="1"/>
  <c r="AD26" i="5"/>
  <c r="AE26" i="5" s="1"/>
  <c r="AD27" i="5"/>
  <c r="AE27" i="5" s="1"/>
  <c r="AD28" i="5"/>
  <c r="AE28" i="5" s="1"/>
  <c r="AD22" i="5"/>
  <c r="AE22" i="5" s="1"/>
  <c r="AC23" i="5" l="1"/>
  <c r="AC24" i="5"/>
  <c r="AC25" i="5"/>
  <c r="AC26" i="5"/>
  <c r="AC27" i="5"/>
  <c r="AC28" i="5"/>
  <c r="AC29" i="5"/>
  <c r="AC30" i="5"/>
  <c r="AC31" i="5"/>
  <c r="AC32" i="5"/>
  <c r="AC33" i="5"/>
  <c r="AC34" i="5"/>
  <c r="AC22" i="5"/>
  <c r="N21" i="5" l="1"/>
  <c r="U34" i="5" l="1"/>
  <c r="U33" i="5"/>
  <c r="T26" i="5" l="1"/>
  <c r="E8" i="5" l="1"/>
  <c r="T27" i="5" l="1"/>
  <c r="T25" i="5"/>
  <c r="S48" i="5" l="1"/>
  <c r="S45" i="5"/>
  <c r="S38" i="5"/>
  <c r="S39" i="5"/>
  <c r="S40" i="5"/>
  <c r="S41" i="5"/>
  <c r="S42" i="5"/>
  <c r="S43" i="5"/>
  <c r="S44" i="5"/>
  <c r="S46" i="5"/>
  <c r="S47" i="5"/>
  <c r="S37" i="5"/>
  <c r="P24" i="5"/>
  <c r="P25" i="5" s="1"/>
  <c r="U32" i="5"/>
  <c r="P21" i="5"/>
  <c r="R25" i="5" l="1"/>
  <c r="Q25" i="5"/>
  <c r="C10" i="4"/>
  <c r="P20" i="5"/>
  <c r="D20" i="4" l="1"/>
  <c r="D14" i="4"/>
  <c r="T34" i="5"/>
  <c r="T31" i="5" s="1"/>
  <c r="Q20" i="5"/>
  <c r="R20" i="5"/>
  <c r="V34" i="5" l="1"/>
  <c r="T30" i="5"/>
  <c r="M23" i="5" s="1"/>
  <c r="M22" i="5"/>
  <c r="T33" i="5"/>
  <c r="P22" i="5"/>
  <c r="Q22" i="5" s="1"/>
  <c r="C20" i="4"/>
  <c r="B20" i="4"/>
  <c r="O11" i="5"/>
  <c r="G14" i="4"/>
  <c r="F14" i="4"/>
  <c r="E14" i="4"/>
  <c r="C14" i="4"/>
  <c r="B14" i="4"/>
  <c r="V24" i="5" l="1"/>
  <c r="V27" i="5"/>
  <c r="V26" i="5"/>
  <c r="V25" i="5"/>
  <c r="D17" i="5"/>
  <c r="V33" i="5"/>
  <c r="B15" i="4"/>
  <c r="R22" i="5"/>
  <c r="P23" i="5"/>
  <c r="T24" i="5"/>
  <c r="R23" i="5" l="1"/>
  <c r="U27" i="5"/>
  <c r="W27" i="5" s="1"/>
  <c r="U25" i="5"/>
  <c r="W25" i="5" s="1"/>
  <c r="U26" i="5"/>
  <c r="W26" i="5" s="1"/>
  <c r="Q23" i="5"/>
  <c r="U24" i="5"/>
  <c r="G3" i="5"/>
  <c r="G8" i="5" s="1"/>
  <c r="T32" i="5" l="1"/>
  <c r="V32" i="5" s="1"/>
  <c r="X26" i="5"/>
  <c r="Y26" i="5"/>
  <c r="X27" i="5"/>
  <c r="Y27" i="5"/>
  <c r="K3" i="5"/>
  <c r="K8" i="5" s="1"/>
  <c r="I3" i="5"/>
  <c r="I8" i="5" s="1"/>
  <c r="E9" i="5" l="1"/>
  <c r="E7" i="5"/>
  <c r="X25" i="5"/>
  <c r="Y25" i="5"/>
  <c r="W24" i="5"/>
  <c r="X24" i="5" s="1"/>
  <c r="E2" i="2"/>
  <c r="E3" i="2"/>
  <c r="E4" i="2"/>
  <c r="E5" i="2"/>
  <c r="E6" i="2"/>
  <c r="E1" i="2"/>
  <c r="D2" i="2"/>
  <c r="B4" i="2" s="1"/>
  <c r="D3" i="2"/>
  <c r="D4" i="2"/>
  <c r="D5" i="2"/>
  <c r="D6" i="2"/>
  <c r="D1" i="2"/>
  <c r="Y24" i="5" l="1"/>
  <c r="Z25" i="5" l="1"/>
  <c r="Z26" i="5"/>
  <c r="Z27" i="5"/>
  <c r="Z24" i="5" l="1"/>
  <c r="Z28" i="5" s="1"/>
  <c r="C29" i="5"/>
  <c r="M33" i="5"/>
  <c r="N27" i="5"/>
  <c r="N28" i="5" s="1"/>
  <c r="L27" i="5"/>
  <c r="L28" i="5" s="1"/>
  <c r="J27" i="5"/>
  <c r="J28" i="5" s="1"/>
  <c r="G27" i="5"/>
  <c r="G28" i="5" s="1"/>
  <c r="E27" i="5"/>
  <c r="E28" i="5" s="1"/>
  <c r="C27" i="5"/>
  <c r="C18" i="4"/>
  <c r="B12" i="4"/>
  <c r="B13" i="3"/>
  <c r="C13" i="3" s="1"/>
  <c r="B12" i="3"/>
  <c r="C12" i="3" s="1"/>
  <c r="B11" i="3"/>
  <c r="C11" i="3" s="1"/>
  <c r="B2" i="2"/>
  <c r="C28" i="5" l="1"/>
  <c r="D33" i="5" s="1"/>
  <c r="C12" i="5"/>
  <c r="C14" i="3"/>
  <c r="B5" i="2"/>
  <c r="B6" i="2"/>
  <c r="B21" i="4"/>
  <c r="D27" i="4" l="1"/>
  <c r="D28" i="4"/>
  <c r="D23" i="4"/>
  <c r="D29" i="4"/>
  <c r="D24" i="4"/>
  <c r="D30" i="4"/>
  <c r="D25" i="4"/>
  <c r="D31" i="4"/>
  <c r="D26" i="4"/>
  <c r="B16" i="4"/>
  <c r="A15" i="2"/>
  <c r="B7" i="2"/>
  <c r="A13" i="2"/>
  <c r="A14" i="2"/>
  <c r="A12" i="2"/>
  <c r="A11" i="2"/>
  <c r="A10" i="2"/>
  <c r="E15" i="4" l="1"/>
  <c r="B8" i="2"/>
  <c r="B9" i="2" s="1"/>
  <c r="D61" i="5" a="1"/>
  <c r="D61" i="5" s="1"/>
  <c r="D31" i="5" l="1"/>
  <c r="D32" i="5" s="1"/>
  <c r="D34" i="5" s="1"/>
  <c r="A73" i="5" l="1"/>
  <c r="A70" i="5"/>
  <c r="A61" i="5"/>
  <c r="A68" i="5"/>
  <c r="A63" i="5"/>
  <c r="A67" i="5"/>
  <c r="A66" i="5"/>
  <c r="A65" i="5"/>
  <c r="A71" i="5"/>
  <c r="A69" i="5"/>
  <c r="A72" i="5"/>
  <c r="A62" i="5"/>
  <c r="M32" i="5"/>
  <c r="A64" i="5"/>
  <c r="M34" i="5" l="1"/>
  <c r="D24" i="5"/>
</calcChain>
</file>

<file path=xl/sharedStrings.xml><?xml version="1.0" encoding="utf-8"?>
<sst xmlns="http://schemas.openxmlformats.org/spreadsheetml/2006/main" count="660" uniqueCount="269">
  <si>
    <t>MEZUNİYET TARİHİ</t>
  </si>
  <si>
    <t>E</t>
  </si>
  <si>
    <t>BAŞVURU TARİHİ</t>
  </si>
  <si>
    <t>E1</t>
  </si>
  <si>
    <t>BAŞVURU GRUBU</t>
  </si>
  <si>
    <t>F1</t>
  </si>
  <si>
    <t>F</t>
  </si>
  <si>
    <t>GEREKEN YIL</t>
  </si>
  <si>
    <t>DİPLOMA YILI</t>
  </si>
  <si>
    <t>G</t>
  </si>
  <si>
    <t>DİPLOMA İŞ MİKTARI</t>
  </si>
  <si>
    <t>G1</t>
  </si>
  <si>
    <t>YETERLİLİK DURUMU</t>
  </si>
  <si>
    <t>HANGİ GRUP İÇİN YETERLİ</t>
  </si>
  <si>
    <t>İŞ DENEYİM İLE SUNULMASI</t>
  </si>
  <si>
    <t>Yıl / Yıllar</t>
  </si>
  <si>
    <t>Dönen Varlıklar</t>
  </si>
  <si>
    <t>Kısa Vadeli Borçlar</t>
  </si>
  <si>
    <t>Öz Kaynaklar</t>
  </si>
  <si>
    <t>Toplam Aktif</t>
  </si>
  <si>
    <t>Yıllara Yaygın İnşaat Maliyetleri (Varsa)</t>
  </si>
  <si>
    <t>Kısa Vadeli Banka Borçları</t>
  </si>
  <si>
    <t>Yıllara Yaygın İnşaat Hakediş Gelirleri (Varsa)</t>
  </si>
  <si>
    <t>Bilanço Oranları</t>
  </si>
  <si>
    <r>
      <t xml:space="preserve">Cari Oran </t>
    </r>
    <r>
      <rPr>
        <sz val="11"/>
        <color rgb="FF000000"/>
        <rFont val="Times New Roman"/>
        <family val="1"/>
        <charset val="162"/>
      </rPr>
      <t>(Dönen Varlıkların Kısa Vadeli Borçlara Oranı)</t>
    </r>
  </si>
  <si>
    <r>
      <t xml:space="preserve">Öz Kaynak Oranı </t>
    </r>
    <r>
      <rPr>
        <sz val="11"/>
        <color rgb="FF000000"/>
        <rFont val="Times New Roman"/>
        <family val="1"/>
        <charset val="162"/>
      </rPr>
      <t>(Öz Kaynakların Toplam Aktife Oranı)</t>
    </r>
  </si>
  <si>
    <t>Kısa Vadeli Banka Borçlarının Öz Kaynaklara Oranı</t>
  </si>
  <si>
    <t xml:space="preserve"> Bilanço Oranları Yeterli Mi?</t>
  </si>
  <si>
    <t>2- İŞ HACMİ BİLGİLERİ TABLOSU  (Aşağıdaki tablolardan ya toplam ciro yada yapım işleri cirosundan biri doldurulacaktır.)</t>
  </si>
  <si>
    <t>Yılı</t>
  </si>
  <si>
    <t>Toplam ciro</t>
  </si>
  <si>
    <t>Yapım işleri cirosu</t>
  </si>
  <si>
    <t>Ciro verileri yukarıdaki tabloya girildiğinde aşağıda güncel değeri vermektedir. Ancak güncel değerler değil Beyanname verileri Ek-2'ye girilecektir.</t>
  </si>
  <si>
    <t>Başvuru tarihinden önceki aya ait Yİ-ÜFE endeksi</t>
  </si>
  <si>
    <t>D1</t>
  </si>
  <si>
    <t>GEREKEN TOP. CİRO</t>
  </si>
  <si>
    <t>Güncel toplam ciro</t>
  </si>
  <si>
    <t>Ortalama Güncel ciro</t>
  </si>
  <si>
    <t>CİRONUZ HANGİ GRUP İÇİN
 YETERLİ</t>
  </si>
  <si>
    <t>Top. Cironuz Yeterli mi?</t>
  </si>
  <si>
    <t>GEREKEN YAPIM İŞİ CİRO</t>
  </si>
  <si>
    <t>Güncel yapım işleri ciro</t>
  </si>
  <si>
    <t>Yapım İşleri Cironuz Yeterli mi?</t>
  </si>
  <si>
    <t>ASGARİ İŞ HACMİ (CİRO) MİKTARI</t>
  </si>
  <si>
    <t>A</t>
  </si>
  <si>
    <t>B</t>
  </si>
  <si>
    <t>B1</t>
  </si>
  <si>
    <t>TOPLAM CİRO</t>
  </si>
  <si>
    <t>VEYA YAPIM CİRO</t>
  </si>
  <si>
    <t>C</t>
  </si>
  <si>
    <t>C1</t>
  </si>
  <si>
    <t>D</t>
  </si>
  <si>
    <t>YILLARA, YAPI GRUP VE SINIFINA GÖRE YAPI BİRİM MALİYETLERİ TABLOSU (TL/m²)</t>
  </si>
  <si>
    <t>YIL</t>
  </si>
  <si>
    <t>YÜRÜRLÜK
TARİHİ</t>
  </si>
  <si>
    <t>YAPI SINIFI</t>
  </si>
  <si>
    <t>II-A</t>
  </si>
  <si>
    <t>II-B</t>
  </si>
  <si>
    <t>II-C</t>
  </si>
  <si>
    <t>III-A</t>
  </si>
  <si>
    <t>III-B</t>
  </si>
  <si>
    <t>IV-A</t>
  </si>
  <si>
    <t>IV-B</t>
  </si>
  <si>
    <t>IV-C</t>
  </si>
  <si>
    <t>V-A</t>
  </si>
  <si>
    <t>V-B</t>
  </si>
  <si>
    <t>V-C</t>
  </si>
  <si>
    <t>V-D</t>
  </si>
  <si>
    <t>YIL/Y. SINIFI</t>
  </si>
  <si>
    <t>2A</t>
  </si>
  <si>
    <t>2B</t>
  </si>
  <si>
    <t>2C</t>
  </si>
  <si>
    <t>3A</t>
  </si>
  <si>
    <t>3B</t>
  </si>
  <si>
    <t>4A</t>
  </si>
  <si>
    <t>4B</t>
  </si>
  <si>
    <t>4C</t>
  </si>
  <si>
    <t>5A</t>
  </si>
  <si>
    <t>5B</t>
  </si>
  <si>
    <t>5C</t>
  </si>
  <si>
    <t>5D</t>
  </si>
  <si>
    <t>-</t>
  </si>
  <si>
    <t>2022/1</t>
  </si>
  <si>
    <t>2022/2</t>
  </si>
  <si>
    <t>2022/3</t>
  </si>
  <si>
    <t>2023/1</t>
  </si>
  <si>
    <t>2023/2</t>
  </si>
  <si>
    <t>YAPI SINIFI VE GRUBU (ÖR.4A)</t>
  </si>
  <si>
    <t>ENDEKS ORANI</t>
  </si>
  <si>
    <t>İŞİN GERÇEKLEŞTİRİLME ORANI</t>
  </si>
  <si>
    <t>YAPI ALANI (m²)</t>
  </si>
  <si>
    <t>İŞ DENEYİM TUTARI (₺)</t>
  </si>
  <si>
    <t>(GÜNCELLENMEMİŞ TUTAR)</t>
  </si>
  <si>
    <t>GÜNCELLEME HESABI</t>
  </si>
  <si>
    <t>TOP. GÜNCEL İŞ DENEYİM TUTARI</t>
  </si>
  <si>
    <t>BELGE TUTARI (₺)</t>
  </si>
  <si>
    <t>YAPI KULLANMA TARİHİ
(GEÇİCİ KABUL TARİHİ)</t>
  </si>
  <si>
    <t>İŞ DENEYİM KAÇ YILLIK</t>
  </si>
  <si>
    <t>YAPILAN İŞ TUTARI (₺)
 (GÜNCELLENMİŞ)</t>
  </si>
  <si>
    <t>SON 15 YILDA YAPILAN
 EN BÜYÜK İŞ</t>
  </si>
  <si>
    <t>SON 5 YILDA YAPILAN İŞLERİN TOP.</t>
  </si>
  <si>
    <t>TOP. İŞ DENEYİMİNİZ YETERLİ Mİ?</t>
  </si>
  <si>
    <t>DİKKATE ALINACAK TOP.
İŞ DENEYİM TUTARI (₺)</t>
  </si>
  <si>
    <t>TOP. İŞ DENEYİMİNİZ HANGİ GRUP İÇİN YETERLİ</t>
  </si>
  <si>
    <t>BAŞVURU İÇİN GEREKEN İŞ DENEYİM</t>
  </si>
  <si>
    <t>III-C</t>
  </si>
  <si>
    <t>3C</t>
  </si>
  <si>
    <t xml:space="preserve">SON 5 YIL İŞ TOPLAMADA MAKS.
DİKKATE ALINABİLECEK DEĞER </t>
  </si>
  <si>
    <t>PARSELDE BULUNAN FARKLI YAPI SINIFLARI</t>
  </si>
  <si>
    <t>YYM*0,9</t>
  </si>
  <si>
    <t>YYM*1,3</t>
  </si>
  <si>
    <t>KATSAYI</t>
  </si>
  <si>
    <t>RUHSAT
 YYM</t>
  </si>
  <si>
    <t>YYM 
ORAN</t>
  </si>
  <si>
    <t>YAPI
ALANI</t>
  </si>
  <si>
    <t>ALANI EN BÜYÜK KATSAYI</t>
  </si>
  <si>
    <t>2- KAMU İŞLERİ VEYA SÖZLEŞME BEDELİ ÜZERİNDEN DÜZENLENEN İŞ DENEYİM BELGESİ İÇİN GÜNCELLEME</t>
  </si>
  <si>
    <t>1- KAT VEYA ARSA KARŞILIĞI İŞLER İLE KENDİ ARSASI ÜZERİNE YAPILAN İŞLER İÇİN İŞ DENEYİM HESAPLAMA</t>
  </si>
  <si>
    <t>1. Deniz iskeleleri</t>
  </si>
  <si>
    <t>2. Genel amaçlı depolar (betonarme, çelik ve benzeri)</t>
  </si>
  <si>
    <t>3. Hayvan bakımevi ve barınakları</t>
  </si>
  <si>
    <t>4. Hayvan satış pazar yerleri</t>
  </si>
  <si>
    <t>5. Tarımsal endüstri yapıları</t>
  </si>
  <si>
    <t>1. Botanik, jeopark ve tema park yapıları</t>
  </si>
  <si>
    <t>2. Geçici kullanımı olan yapılar, konteyner kentler ve benzeri</t>
  </si>
  <si>
    <t>3. Halı sahalar, semt sahaları ve benzeri</t>
  </si>
  <si>
    <t>4. Hangar yapıları (helikopterler, küçük uçaklar, park ve bakım onarım yerleri ve benzeri)</t>
  </si>
  <si>
    <t>5. Kapalı pazar yerleri, semt pazarları ve benzeri</t>
  </si>
  <si>
    <t>1. Bağ/dağ/köy ve yayla evleri (kırsalda yer alan brüt inşaat alanı 200 m²'nin altındaki yapılar)</t>
  </si>
  <si>
    <t>2. Bungalov evleri</t>
  </si>
  <si>
    <t>3. Hal binaları</t>
  </si>
  <si>
    <t>4. Mezbahalar</t>
  </si>
  <si>
    <t>5. Sanayi tesisleri (döşeme hareketli yükü 0-500 kg/m² olan yapılar)</t>
  </si>
  <si>
    <t>6. Taziye evleri</t>
  </si>
  <si>
    <t>1. Akaryakıt ve otogaz dolum istasyonları</t>
  </si>
  <si>
    <t>2. Aquaparklar</t>
  </si>
  <si>
    <t>3. Çocuk destek merkezleri, çocuk evleri koordinasyon merkezleri, çocuk evleri   </t>
  </si>
  <si>
    <t>4. Garajlar, katlı ve/veya kapalı otoparklar ve benzeri</t>
  </si>
  <si>
    <t>6. İtfaiye binaları</t>
  </si>
  <si>
    <t>7. Kayadan oyma konutlar</t>
  </si>
  <si>
    <t>8. Konutlar (apartman tipi, üç kata kadar-üç kat dâhil)</t>
  </si>
  <si>
    <t>9. Kreşler, okul öncesi eğitim merkezleri ve benzeri</t>
  </si>
  <si>
    <t>10. Köy ve mahalle konakları</t>
  </si>
  <si>
    <t>11. Muhtarlık binaları</t>
  </si>
  <si>
    <t>12. Özelliği olan depolar (kimyasal madde, radyoaktif atık, soğuk hava depoları ve benzeri)</t>
  </si>
  <si>
    <t>13. Semt postaneleri</t>
  </si>
  <si>
    <t>14. Sığınma ve barınma evleri</t>
  </si>
  <si>
    <t>15. Sosyal tesis yapıları (inşaat ortak alanında yapılan havuz, hamam, sauna ve benzeri)</t>
  </si>
  <si>
    <t>1. 112 acil sağlık hizmetleri istasyonları</t>
  </si>
  <si>
    <t>2. Aile sağlığı merkezleri</t>
  </si>
  <si>
    <t>3. Apart oteller</t>
  </si>
  <si>
    <t>4. Gece kulübü ve eğlence yerleri</t>
  </si>
  <si>
    <t>5. Hayvan hastaneleri</t>
  </si>
  <si>
    <t>6. İbadethaneler (kişi sayısı 500'ün altındaki yapılar)</t>
  </si>
  <si>
    <t>7. İlçe tipi otobüs terminalleri</t>
  </si>
  <si>
    <t>8. İlkokul ve ortaokul yapıları</t>
  </si>
  <si>
    <t>9. İş merkezleri (üç kata kadar-üç kat dâhil)</t>
  </si>
  <si>
    <t>10. Kapalı spor salonları (seyirci sayısı 1.000'in altındaki yapılar)</t>
  </si>
  <si>
    <t>11. Konukevleri, misafirhaneler ve benzeri</t>
  </si>
  <si>
    <t>13. Kütüphaneler (brüt inşaat alanı 1.000 m²'nin altındaki yapılar)</t>
  </si>
  <si>
    <t>14. Liman binaları ve marinalar</t>
  </si>
  <si>
    <t>16. Sanayi tesisleri (döşeme hareketli yükü 501-3.000 kg/m² olan yapılar)</t>
  </si>
  <si>
    <t>17. Sanayi tesisleri idari binaları</t>
  </si>
  <si>
    <t>1. Ağız ve diş sağlığı merkezleri</t>
  </si>
  <si>
    <t>2. Emniyet ve jandarma karakol binaları</t>
  </si>
  <si>
    <t>3. Halk eğitim merkezleri</t>
  </si>
  <si>
    <t>4. Huzurevi, rehabilitasyon ve yaşlı bakım merkezleri</t>
  </si>
  <si>
    <t>5. İl tipi otobüs terminalleri</t>
  </si>
  <si>
    <t>7. Kaplıcalar, şifa evleri, termal tesisler ve benzeri</t>
  </si>
  <si>
    <t>9. Lise ve dengi okul yapıları</t>
  </si>
  <si>
    <t>11. Öğrenci yurtları</t>
  </si>
  <si>
    <t>12. Toplum sağlığı merkezleri</t>
  </si>
  <si>
    <t>13. Tren gar/istasyon binaları (brüt inşaat alanı 1.500 m²'den az olan yapılar)</t>
  </si>
  <si>
    <t>1. Açık cezaevleri</t>
  </si>
  <si>
    <t>2. Aile yaşam ve gençlik merkezleri</t>
  </si>
  <si>
    <t>3. Alışveriş merkezleri (brüt inşaat alanı 25.000 m²'nin altındaki yapılar)</t>
  </si>
  <si>
    <t>4. Araştırma ve geliştirme merkezleri, laboratuvarlar ve benzeri</t>
  </si>
  <si>
    <t>5. Engelsiz yaşam merkezleri</t>
  </si>
  <si>
    <t>6. Enstitüler, fakülteler ve yüksekokullar</t>
  </si>
  <si>
    <t>7. Fuar merkezleri</t>
  </si>
  <si>
    <t>8. İlçe tipi kamu binaları</t>
  </si>
  <si>
    <t>11. Kayadan oyma oteller   </t>
  </si>
  <si>
    <t>13. Mesleki eğitim merkezleri</t>
  </si>
  <si>
    <t>14. Oteller (1 ve 2 yıldızlı)</t>
  </si>
  <si>
    <t>15. Özel eğitim okulları</t>
  </si>
  <si>
    <t>16. Rehberlik ve araştırma merkezleri</t>
  </si>
  <si>
    <t>17. Sanayi tesisleri (döşeme hareketli yükü 3.001 kg/m² ve üzeri olan yapılar)</t>
  </si>
  <si>
    <t>18. Tıp merkezleri</t>
  </si>
  <si>
    <t>19. Yüzme havuzu tesisleri</t>
  </si>
  <si>
    <t>1. Arşiv binaları</t>
  </si>
  <si>
    <t>2. Banka ve borsa binaları</t>
  </si>
  <si>
    <t>3. Büyük (merkez) postaneler</t>
  </si>
  <si>
    <t>4. Düğün salonları</t>
  </si>
  <si>
    <t>5. Fizik tedavi ve rehabilitasyon merkezleri</t>
  </si>
  <si>
    <t>8. Kapalı spor salonları (seyirci sayısı 5.000 ve üzeri yapılar)</t>
  </si>
  <si>
    <t>9. Konutlar (yapı yüksekliği 51,50 m üzeri yapılar)</t>
  </si>
  <si>
    <t>12. Özelliği olan genel sığınaklar</t>
  </si>
  <si>
    <t>13. Radyo ve televizyon istasyon binaları</t>
  </si>
  <si>
    <t>14. Üniversite idari binaları</t>
  </si>
  <si>
    <t>1. Adalet sarayları</t>
  </si>
  <si>
    <t>2. Alışveriş merkezleri (brüt inşaat alanı 25.000 m² ve üzeri yapılar)</t>
  </si>
  <si>
    <t>3. Bakanlık binaları</t>
  </si>
  <si>
    <t>4. Büyükşehir belediye hizmet binaları</t>
  </si>
  <si>
    <t>5. Geri gönderme merkezleri</t>
  </si>
  <si>
    <t>6. Hastaneler (yatak sayısı 200'ün altındaki yapılar)</t>
  </si>
  <si>
    <t>7. İl tipi kamu binaları</t>
  </si>
  <si>
    <t>8. Kapalı cezaevleri</t>
  </si>
  <si>
    <t>9. Kaymakamlık ve vali konutları</t>
  </si>
  <si>
    <t>10. Kütüphaneler (brüt inşaat alanı 1.000 m² ve üzeri yapılar)</t>
  </si>
  <si>
    <t>11. Olimpik spor tesisleri</t>
  </si>
  <si>
    <t>12. Oteller (3 yıldızlı)</t>
  </si>
  <si>
    <t>13. Tatil köyleri</t>
  </si>
  <si>
    <t>14. Tren gar/istasyon binaları (brüt inşaat alanı 1.500 m²'den fazla olan yapılar)</t>
  </si>
  <si>
    <t>1. Büyükelçilik, diplomatik temsilcilik ve konsolosluk binaları</t>
  </si>
  <si>
    <t>2. Eğitim ve araştırma hastaneleri</t>
  </si>
  <si>
    <t>3. İş merkezleri (yapı yüksekliği 51,50 m üzeri yapılar)</t>
  </si>
  <si>
    <t>5. Stadyumlar ve hipodromlar</t>
  </si>
  <si>
    <t>6. Üniversite kampüsleri</t>
  </si>
  <si>
    <t>1. Deniz, hava ve kara kuvvetleri komutanlığı tesisleri</t>
  </si>
  <si>
    <t>3. İbadethaneler (kişi sayısı 1.500 ve üzeri yapılar)</t>
  </si>
  <si>
    <t>4. Jandarma ve sahil güvenlik komutanlığı tesisleri</t>
  </si>
  <si>
    <t>5. Oteller (4 yıldızlı)</t>
  </si>
  <si>
    <t>1. Bale, opera ve tiyatro yapıları</t>
  </si>
  <si>
    <t>2. Hastaneler (yatak sayısı 400 ve üzeri yapılar-yatak sayısı 400 dâhil)</t>
  </si>
  <si>
    <t>3. Kongre ve kültür merkezleri</t>
  </si>
  <si>
    <t>4. Müze yapıları</t>
  </si>
  <si>
    <t>1. Havalimanı terminal binaları (idari binalar, yolcu terminal binası ve benzeri)</t>
  </si>
  <si>
    <t>2. Metro istasyonları</t>
  </si>
  <si>
    <t>3. Oteller (5 yıldızlı)</t>
  </si>
  <si>
    <t>4. Şehir hastaneleri</t>
  </si>
  <si>
    <t>5. Yüksek güvenlikli cezaevleri</t>
  </si>
  <si>
    <t>5. Havalimanı destek binaları (garaj binası, itfaiye binası, nizamiye binası, ısı-güç merkez binası ve benzeri)</t>
  </si>
  <si>
    <t>12. Konutlar (yapı yüksekliği 21.50 m’nin altındaki yapılar-üç kat üzeri, yapı yüksekliği 21.50 m dâhil)</t>
  </si>
  <si>
    <t>15. Müstakil ve/veya ikiz konutlar (bağımsız bölüm brüt inşaat alanı 200 m²'nin altındaki yapılar)</t>
  </si>
  <si>
    <t>6. İş merkezleri (yapı yüksekliği 21.50 m’nin altındaki yapılar-üç kat üzeri, yapı yüksekliği 21.50 m dâhil)</t>
  </si>
  <si>
    <t>8. Konutlar (yapı yüksekliği 21.50 m’den fazla ve 30.50 m’den az olan yapılar-yapı yüksekliği 30.50 m dâhil)</t>
  </si>
  <si>
    <t>10. Müstakil ve/veya ikiz konutlar (bağımsız bölüm brüt inşaat alanı 200 m²'den fazla ve 500 m²'den az olan yapılar-brüt inşaat alanı 200 m² dâhil)</t>
  </si>
  <si>
    <t>9. İş merkezleri (yapı yüksekliği 21.50 m’den fazla ve 30.50 m’den az olan yapılar-yapı yüksekliği 30.50 m dâhil)</t>
  </si>
  <si>
    <t>10. Kapalı spor salonları (seyirci sayısı 1.000'den fazla ve 5.000'den az olan yapılar-seyirci sayısı 1.000 dâhil)</t>
  </si>
  <si>
    <t>12. Konutlar (yapı yüksekliği 30.50 m’den fazla ve 51.50 m’den az olan yapılar-yapı yüksekliği 51.50 m dâhil)</t>
  </si>
  <si>
    <t>6. İbadethaneler (kişi sayısı 500'den fazla ve 1.500'den az olan yapılar - kişi sayısı 500 dâhil)</t>
  </si>
  <si>
    <t>7. İş merkezleri (yapı yüksekliği 30.50 m’den fazla ve 51.50 m’den az olan yapılar - yapı yüksekliği 51.50 m dâhil)</t>
  </si>
  <si>
    <t>10. Müstakil ve/veya ikiz konutlar (bağımsız bölüm brüt inşaat alanı 500 m² ve üzeri yapılar)</t>
  </si>
  <si>
    <t>11. Özelliği olan büyük okul yapıları (spor salonu, konferans salonu ve ek tesisleri olan eğitim yapıları)</t>
  </si>
  <si>
    <t>4. Karma kullanımlı yapılar (avm, ofis ve/veya konutların birlikte bulunduğu yapılar)</t>
  </si>
  <si>
    <t>2. Hastaneler (yatak sayısı 200'den fazla ve 400'den az olan yapılar-yatak sayısı 200 dâhil)</t>
  </si>
  <si>
    <t>5. Tarihi eser niteliğinde olup restore edilerek veya yıkılarak aslına uygun olarak yapılan yapılar</t>
  </si>
  <si>
    <t>GÜNCEL İŞ DENEYİM TUTARI</t>
  </si>
  <si>
    <t>GÜNCEL
YYM</t>
  </si>
  <si>
    <t>YAYIM
TARİHİ</t>
  </si>
  <si>
    <t>3- SANAYİ YAPILARI SÖZLEŞME BEDELİ ÜZERİNDEN DÜZENLENEN İŞ DENEYİM BELGESİ İÇİN GÜNCELLEME</t>
  </si>
  <si>
    <t>ENDEKS</t>
  </si>
  <si>
    <t>Bir parsel üzerinde birden fazla blok olması veya toplu yapı niteliğinde yapılar olması durumunda bu yapıların  yapı sınıfı, grubuna ve yapı alanına göre yandaki tabloya verilerin girilmesi gerekmektedir. Sadece bir yapı grubu ve sınıfı olması durumunda 1 no.lu sütuna yapı alanı verisi giriniz.</t>
  </si>
  <si>
    <t>SÖZLEŞME TARİHİ</t>
  </si>
  <si>
    <t>H</t>
  </si>
  <si>
    <t>02.12.2019 TARİHİNDEN ÖNCEKİ İŞLER</t>
  </si>
  <si>
    <t>02.12.2019 TARİHİNDEN SONRAKİ İŞLER</t>
  </si>
  <si>
    <t>RUHSAT TARİHİ</t>
  </si>
  <si>
    <t>İŞ DENEYİM TUTARINA GÖRE BAŞVURULABİLECEK GRUP HESABI</t>
  </si>
  <si>
    <t>GÜNCEL YAPI SINIFI (2025 Yılı)
(En Büyük Yapı Alanına Ait)</t>
  </si>
  <si>
    <t>İHALE/SÖZLEŞME TARİHİ</t>
  </si>
  <si>
    <t>YAPI RUHSATI veya SÖZLEŞME TARİHİ</t>
  </si>
  <si>
    <t>GERÇEKLEŞTİRİLEN TOPLAM İŞ TUTARI (₺)</t>
  </si>
  <si>
    <t>TOPLAM BELGE TUTARI (₺)</t>
  </si>
  <si>
    <t>RUHSAT TARİHİNDEKİ GRUBUNUZ</t>
  </si>
  <si>
    <t>RUHSAT TARİHİNDEKİ GRUBUN AZAMİ İŞ MİKTARI</t>
  </si>
  <si>
    <t>REFERANS MEKTUBU</t>
  </si>
  <si>
    <t>CİRO</t>
  </si>
  <si>
    <t>YAPIM CİRO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</si>
</sst>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6" formatCode="#,##0&quot;₺&quot;;[Red]\-#,##0&quot;₺&quot;"/>
    <numFmt numFmtId="164" formatCode="dd/mm/yyyy;@"/>
    <numFmt numFmtId="165" formatCode="#,##0.00_ ;[Red]\-#,##0.00\ "/>
    <numFmt numFmtId="166" formatCode="0.0"/>
    <numFmt numFmtId="167" formatCode="#,##0&quot;₺&quot;"/>
    <numFmt numFmtId="168" formatCode="#,##0.00\ &quot;₺&quot;"/>
    <numFmt numFmtId="169" formatCode="0.0000"/>
    <numFmt numFmtId="170" formatCode="#,##0\ &quot;₺&quot;"/>
    <numFmt numFmtId="171" formatCode="#,##0.0"/>
    <numFmt numFmtId="172" formatCode="#,##0.00&quot;₺&quot;"/>
  </numFmts>
  <fonts count="23" x14ac:knownFonts="1">
    <font>
      <sz val="11"/>
      <color theme="1"/>
      <name val="Calibri"/>
      <family val="2"/>
      <charset val="162"/>
      <scheme val="minor"/>
    </font>
    <font>
      <b/>
      <sz val="11"/>
      <color theme="1"/>
      <name val="Calibri"/>
      <family val="2"/>
      <charset val="162"/>
      <scheme val="minor"/>
    </font>
    <font>
      <sz val="1"/>
      <color theme="1"/>
      <name val="Times New Roman"/>
      <family val="1"/>
      <charset val="162"/>
    </font>
    <font>
      <sz val="1"/>
      <color theme="1"/>
      <name val="Calibri"/>
      <family val="2"/>
      <charset val="162"/>
      <scheme val="minor"/>
    </font>
    <font>
      <sz val="11"/>
      <color theme="1"/>
      <name val="Times New Roman"/>
      <family val="1"/>
      <charset val="162"/>
    </font>
    <font>
      <b/>
      <sz val="11"/>
      <color rgb="FF000000"/>
      <name val="Times New Roman"/>
      <family val="1"/>
      <charset val="162"/>
    </font>
    <font>
      <sz val="11"/>
      <color rgb="FF000000"/>
      <name val="Times New Roman"/>
      <family val="1"/>
      <charset val="162"/>
    </font>
    <font>
      <b/>
      <sz val="8"/>
      <color rgb="FF000000"/>
      <name val="Times New Roman"/>
      <family val="1"/>
      <charset val="162"/>
    </font>
    <font>
      <b/>
      <sz val="12"/>
      <color rgb="FF000000"/>
      <name val="Times New Roman"/>
      <family val="1"/>
      <charset val="162"/>
    </font>
    <font>
      <b/>
      <sz val="14"/>
      <color theme="1"/>
      <name val="Times New Roman"/>
      <family val="1"/>
      <charset val="162"/>
    </font>
    <font>
      <b/>
      <sz val="11"/>
      <color theme="1"/>
      <name val="Times New Roman"/>
      <family val="1"/>
      <charset val="162"/>
    </font>
    <font>
      <b/>
      <u/>
      <sz val="11"/>
      <color theme="1"/>
      <name val="Times New Roman"/>
      <family val="1"/>
      <charset val="162"/>
    </font>
    <font>
      <b/>
      <sz val="14"/>
      <color theme="1"/>
      <name val="Calibri"/>
      <family val="2"/>
      <charset val="162"/>
      <scheme val="minor"/>
    </font>
    <font>
      <sz val="14"/>
      <color theme="1"/>
      <name val="Calibri"/>
      <family val="2"/>
      <charset val="162"/>
      <scheme val="minor"/>
    </font>
    <font>
      <b/>
      <sz val="10"/>
      <color theme="1"/>
      <name val="Times New Roman"/>
      <family val="1"/>
      <charset val="162"/>
    </font>
    <font>
      <sz val="10"/>
      <color theme="1"/>
      <name val="Times New Roman"/>
      <family val="1"/>
      <charset val="162"/>
    </font>
    <font>
      <sz val="9"/>
      <color theme="1"/>
      <name val="Times New Roman"/>
      <family val="1"/>
      <charset val="162"/>
    </font>
    <font>
      <sz val="10"/>
      <color rgb="FF000000"/>
      <name val="Times New Roman"/>
      <family val="1"/>
      <charset val="162"/>
    </font>
    <font>
      <sz val="10"/>
      <name val="Arial"/>
      <family val="2"/>
      <charset val="162"/>
    </font>
    <font>
      <b/>
      <sz val="12"/>
      <color theme="1"/>
      <name val="Times New Roman"/>
      <family val="1"/>
      <charset val="162"/>
    </font>
    <font>
      <sz val="12"/>
      <color theme="1"/>
      <name val="Times New Roman"/>
      <family val="1"/>
      <charset val="162"/>
    </font>
    <font>
      <sz val="12"/>
      <color theme="1"/>
      <name val="Calibri"/>
      <family val="2"/>
      <charset val="162"/>
      <scheme val="minor"/>
    </font>
    <font>
      <sz val="11"/>
      <color rgb="FF333333"/>
      <name val="Times New Roman"/>
      <family val="1"/>
      <charset val="162"/>
    </font>
  </fonts>
  <fills count="5">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C000"/>
        <bgColor indexed="64"/>
      </patternFill>
    </fill>
  </fills>
  <borders count="45">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auto="1"/>
      </left>
      <right style="thin">
        <color auto="1"/>
      </right>
      <top/>
      <bottom/>
      <diagonal/>
    </border>
    <border>
      <left/>
      <right style="thin">
        <color indexed="64"/>
      </right>
      <top/>
      <bottom style="thin">
        <color indexed="64"/>
      </bottom>
      <diagonal/>
    </border>
    <border>
      <left style="medium">
        <color auto="1"/>
      </left>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medium">
        <color indexed="64"/>
      </right>
      <top style="thin">
        <color auto="1"/>
      </top>
      <bottom style="thin">
        <color indexed="64"/>
      </bottom>
      <diagonal/>
    </border>
    <border>
      <left/>
      <right style="medium">
        <color indexed="64"/>
      </right>
      <top style="thin">
        <color auto="1"/>
      </top>
      <bottom/>
      <diagonal/>
    </border>
    <border>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bottom style="medium">
        <color auto="1"/>
      </bottom>
      <diagonal/>
    </border>
    <border>
      <left/>
      <right style="medium">
        <color indexed="64"/>
      </right>
      <top/>
      <bottom style="thin">
        <color indexed="64"/>
      </bottom>
      <diagonal/>
    </border>
  </borders>
  <cellStyleXfs count="2">
    <xf numFmtId="0" fontId="0" fillId="0" borderId="0"/>
    <xf numFmtId="0" fontId="18" fillId="0" borderId="0"/>
  </cellStyleXfs>
  <cellXfs count="275">
    <xf numFmtId="0" fontId="0" fillId="0" borderId="0" xfId="0"/>
    <xf numFmtId="0" fontId="1" fillId="0" borderId="1" xfId="0" applyFont="1" applyBorder="1"/>
    <xf numFmtId="0" fontId="0" fillId="0" borderId="1" xfId="0" applyBorder="1" applyAlignment="1">
      <alignment horizontal="center"/>
    </xf>
    <xf numFmtId="6" fontId="0" fillId="0" borderId="1" xfId="0" applyNumberFormat="1" applyBorder="1"/>
    <xf numFmtId="165" fontId="0" fillId="0" borderId="0" xfId="0" applyNumberFormat="1"/>
    <xf numFmtId="0" fontId="0" fillId="0" borderId="1" xfId="0" applyBorder="1" applyAlignment="1">
      <alignment horizontal="center" vertical="center"/>
    </xf>
    <xf numFmtId="166" fontId="0" fillId="0" borderId="1" xfId="0" applyNumberFormat="1" applyBorder="1" applyAlignment="1">
      <alignment horizontal="center" vertical="center"/>
    </xf>
    <xf numFmtId="167" fontId="0" fillId="0" borderId="1" xfId="0" applyNumberFormat="1" applyBorder="1" applyAlignment="1">
      <alignment horizontal="center" vertical="center"/>
    </xf>
    <xf numFmtId="0" fontId="1" fillId="0" borderId="1" xfId="0" applyFont="1" applyBorder="1" applyAlignment="1">
      <alignment horizontal="center" vertical="center"/>
    </xf>
    <xf numFmtId="0" fontId="4" fillId="0" borderId="0" xfId="0" applyFont="1"/>
    <xf numFmtId="0" fontId="4" fillId="0" borderId="0" xfId="0" applyFont="1" applyProtection="1">
      <protection locked="0"/>
    </xf>
    <xf numFmtId="0" fontId="4" fillId="0" borderId="0" xfId="0" applyFont="1" applyAlignment="1" applyProtection="1">
      <alignment vertical="center"/>
      <protection locked="0"/>
    </xf>
    <xf numFmtId="168" fontId="4" fillId="0" borderId="0" xfId="0" applyNumberFormat="1" applyFont="1" applyAlignment="1" applyProtection="1">
      <alignment vertical="center"/>
      <protection locked="0"/>
    </xf>
    <xf numFmtId="0" fontId="2" fillId="0" borderId="0" xfId="0" applyFont="1" applyProtection="1">
      <protection locked="0"/>
    </xf>
    <xf numFmtId="0" fontId="4" fillId="0" borderId="1" xfId="0" applyFont="1" applyBorder="1" applyAlignment="1">
      <alignment vertical="center"/>
    </xf>
    <xf numFmtId="0" fontId="4" fillId="0" borderId="1" xfId="0" applyFont="1" applyBorder="1" applyAlignment="1">
      <alignment horizontal="center" vertical="center"/>
    </xf>
    <xf numFmtId="0" fontId="4" fillId="0" borderId="1" xfId="0" applyFont="1" applyBorder="1"/>
    <xf numFmtId="14" fontId="4" fillId="0" borderId="0" xfId="0" applyNumberFormat="1" applyFont="1"/>
    <xf numFmtId="0" fontId="10" fillId="0" borderId="0" xfId="0" applyFont="1"/>
    <xf numFmtId="0" fontId="14" fillId="0" borderId="10" xfId="0" applyFont="1" applyBorder="1" applyAlignment="1">
      <alignment vertical="center"/>
    </xf>
    <xf numFmtId="0" fontId="14" fillId="0" borderId="11" xfId="0" applyFont="1" applyBorder="1" applyAlignment="1">
      <alignment vertical="center"/>
    </xf>
    <xf numFmtId="14" fontId="4" fillId="0" borderId="0" xfId="0" applyNumberFormat="1" applyFont="1" applyAlignment="1">
      <alignment vertical="center"/>
    </xf>
    <xf numFmtId="0" fontId="10" fillId="0" borderId="0" xfId="0" applyFont="1" applyAlignment="1">
      <alignment horizontal="center" vertical="center"/>
    </xf>
    <xf numFmtId="171" fontId="10" fillId="0" borderId="0" xfId="0" applyNumberFormat="1" applyFont="1"/>
    <xf numFmtId="3" fontId="4" fillId="0" borderId="0" xfId="0" applyNumberFormat="1" applyFont="1"/>
    <xf numFmtId="2" fontId="4" fillId="0" borderId="0" xfId="0" applyNumberFormat="1" applyFont="1"/>
    <xf numFmtId="2" fontId="11" fillId="0" borderId="0" xfId="0" applyNumberFormat="1" applyFont="1" applyAlignment="1">
      <alignment horizontal="center" vertical="center"/>
    </xf>
    <xf numFmtId="0" fontId="10" fillId="0" borderId="0" xfId="0" applyFont="1" applyAlignment="1">
      <alignment horizontal="center" vertical="center" wrapText="1"/>
    </xf>
    <xf numFmtId="4" fontId="10" fillId="0" borderId="0" xfId="0" applyNumberFormat="1" applyFont="1" applyAlignment="1">
      <alignment horizontal="center" vertical="center"/>
    </xf>
    <xf numFmtId="0" fontId="5" fillId="0" borderId="0" xfId="0" applyFont="1" applyAlignment="1">
      <alignment horizontal="center" vertical="center" wrapText="1"/>
    </xf>
    <xf numFmtId="0" fontId="14" fillId="0" borderId="1" xfId="0" applyFont="1" applyBorder="1" applyAlignment="1">
      <alignment horizontal="center" vertical="center"/>
    </xf>
    <xf numFmtId="0" fontId="14" fillId="0" borderId="1" xfId="0" applyFont="1" applyBorder="1" applyAlignment="1">
      <alignment horizontal="center"/>
    </xf>
    <xf numFmtId="164" fontId="14" fillId="0" borderId="1" xfId="0" applyNumberFormat="1" applyFont="1" applyBorder="1" applyAlignment="1">
      <alignment horizontal="center" vertical="center"/>
    </xf>
    <xf numFmtId="1" fontId="4" fillId="0" borderId="1" xfId="0" applyNumberFormat="1" applyFont="1" applyBorder="1"/>
    <xf numFmtId="3" fontId="15" fillId="0" borderId="1" xfId="0" applyNumberFormat="1" applyFont="1" applyBorder="1" applyAlignment="1">
      <alignment horizontal="center"/>
    </xf>
    <xf numFmtId="4" fontId="4" fillId="0" borderId="0" xfId="0" applyNumberFormat="1" applyFont="1"/>
    <xf numFmtId="0" fontId="5" fillId="0" borderId="0" xfId="0" applyFont="1" applyAlignment="1">
      <alignment horizontal="center" vertical="center"/>
    </xf>
    <xf numFmtId="0" fontId="6" fillId="0" borderId="13" xfId="0" applyFont="1" applyBorder="1" applyAlignment="1">
      <alignment vertical="center"/>
    </xf>
    <xf numFmtId="0" fontId="6" fillId="0" borderId="0" xfId="0" applyFont="1" applyAlignment="1">
      <alignment vertical="center"/>
    </xf>
    <xf numFmtId="0" fontId="6" fillId="0" borderId="0" xfId="0" applyFont="1"/>
    <xf numFmtId="0" fontId="5" fillId="0" borderId="2" xfId="0" applyFont="1" applyBorder="1" applyAlignment="1">
      <alignment horizontal="center" vertical="center" wrapText="1"/>
    </xf>
    <xf numFmtId="0" fontId="5" fillId="0" borderId="2" xfId="0" applyFont="1" applyBorder="1" applyAlignment="1">
      <alignment horizontal="center"/>
    </xf>
    <xf numFmtId="0" fontId="5" fillId="0" borderId="4" xfId="0" applyFont="1" applyBorder="1" applyAlignment="1">
      <alignment horizontal="center" vertical="center" wrapText="1"/>
    </xf>
    <xf numFmtId="0" fontId="5" fillId="0" borderId="1" xfId="0" applyFont="1" applyBorder="1" applyAlignment="1">
      <alignment vertical="center"/>
    </xf>
    <xf numFmtId="0" fontId="6" fillId="0" borderId="1" xfId="0" applyFont="1" applyBorder="1" applyAlignment="1">
      <alignment vertical="center"/>
    </xf>
    <xf numFmtId="0" fontId="4" fillId="0" borderId="20" xfId="0" applyFont="1" applyBorder="1"/>
    <xf numFmtId="0" fontId="4" fillId="0" borderId="21" xfId="0" applyFont="1" applyBorder="1"/>
    <xf numFmtId="0" fontId="10" fillId="0" borderId="1" xfId="0" applyFont="1" applyBorder="1" applyAlignment="1">
      <alignment horizontal="left"/>
    </xf>
    <xf numFmtId="0" fontId="4" fillId="0" borderId="22" xfId="0" applyFont="1" applyBorder="1"/>
    <xf numFmtId="0" fontId="10" fillId="3" borderId="1" xfId="0" applyFont="1" applyFill="1" applyBorder="1" applyAlignment="1">
      <alignment horizontal="left"/>
    </xf>
    <xf numFmtId="170" fontId="10" fillId="3" borderId="23" xfId="0" applyNumberFormat="1" applyFont="1" applyFill="1" applyBorder="1" applyAlignment="1">
      <alignment horizontal="center" vertical="center"/>
    </xf>
    <xf numFmtId="0" fontId="0" fillId="0" borderId="24" xfId="0" applyBorder="1"/>
    <xf numFmtId="0" fontId="0" fillId="0" borderId="25" xfId="0" applyBorder="1"/>
    <xf numFmtId="4" fontId="6" fillId="0" borderId="1" xfId="0" applyNumberFormat="1" applyFont="1" applyBorder="1" applyAlignment="1">
      <alignment horizontal="left" vertical="center" wrapText="1"/>
    </xf>
    <xf numFmtId="170" fontId="6" fillId="0" borderId="1" xfId="0" applyNumberFormat="1" applyFont="1" applyBorder="1" applyAlignment="1">
      <alignment horizontal="center" vertical="center" wrapText="1"/>
    </xf>
    <xf numFmtId="170" fontId="6" fillId="0" borderId="19" xfId="0" applyNumberFormat="1" applyFont="1" applyBorder="1" applyAlignment="1">
      <alignment horizontal="center" vertical="center" wrapText="1"/>
    </xf>
    <xf numFmtId="0" fontId="6" fillId="0" borderId="1" xfId="0" applyFont="1" applyBorder="1" applyAlignment="1">
      <alignment horizontal="left" vertical="center"/>
    </xf>
    <xf numFmtId="170" fontId="5" fillId="3" borderId="1" xfId="0" applyNumberFormat="1" applyFont="1" applyFill="1" applyBorder="1" applyAlignment="1">
      <alignment horizontal="center" vertical="center" wrapText="1"/>
    </xf>
    <xf numFmtId="0" fontId="11" fillId="3" borderId="1" xfId="0" applyFont="1" applyFill="1" applyBorder="1" applyAlignment="1">
      <alignment horizontal="center" vertical="center"/>
    </xf>
    <xf numFmtId="0" fontId="4" fillId="0" borderId="18" xfId="0" applyFont="1" applyBorder="1"/>
    <xf numFmtId="0" fontId="11" fillId="0" borderId="27" xfId="0" applyFont="1" applyBorder="1" applyAlignment="1">
      <alignment horizontal="center" vertical="center"/>
    </xf>
    <xf numFmtId="0" fontId="4" fillId="0" borderId="21" xfId="0" applyFont="1" applyBorder="1" applyAlignment="1">
      <alignment horizontal="center"/>
    </xf>
    <xf numFmtId="170" fontId="10" fillId="4" borderId="23" xfId="0" applyNumberFormat="1" applyFont="1" applyFill="1" applyBorder="1"/>
    <xf numFmtId="0" fontId="4" fillId="0" borderId="0" xfId="0" applyFont="1" applyAlignment="1">
      <alignment horizontal="center"/>
    </xf>
    <xf numFmtId="0" fontId="6" fillId="0" borderId="0" xfId="0" applyFont="1" applyAlignment="1">
      <alignment horizontal="center" vertical="center"/>
    </xf>
    <xf numFmtId="4" fontId="5" fillId="0" borderId="0" xfId="0" applyNumberFormat="1" applyFont="1" applyAlignment="1">
      <alignment horizontal="center" vertical="center" wrapText="1"/>
    </xf>
    <xf numFmtId="0" fontId="11" fillId="4" borderId="1" xfId="0" applyFont="1" applyFill="1" applyBorder="1" applyAlignment="1">
      <alignment horizontal="center" vertical="center"/>
    </xf>
    <xf numFmtId="0" fontId="2" fillId="0" borderId="0" xfId="0" applyFont="1"/>
    <xf numFmtId="167" fontId="3" fillId="0" borderId="0" xfId="0" applyNumberFormat="1" applyFont="1" applyAlignment="1">
      <alignment horizontal="right" vertical="center" wrapText="1"/>
    </xf>
    <xf numFmtId="167" fontId="3" fillId="0" borderId="0" xfId="0" applyNumberFormat="1" applyFont="1" applyAlignment="1">
      <alignment horizontal="right" vertical="center"/>
    </xf>
    <xf numFmtId="0" fontId="3" fillId="0" borderId="0" xfId="0" applyFont="1"/>
    <xf numFmtId="168" fontId="6" fillId="2" borderId="17" xfId="0" applyNumberFormat="1"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protection locked="0"/>
    </xf>
    <xf numFmtId="0" fontId="5" fillId="0" borderId="2" xfId="0" applyFont="1" applyBorder="1" applyAlignment="1">
      <alignment horizontal="center" vertical="top" wrapText="1"/>
    </xf>
    <xf numFmtId="0" fontId="5" fillId="0" borderId="0" xfId="0" applyFont="1" applyAlignment="1">
      <alignment horizontal="center"/>
    </xf>
    <xf numFmtId="0" fontId="5" fillId="0" borderId="4" xfId="0" applyFont="1" applyBorder="1" applyAlignment="1">
      <alignment vertical="top" wrapText="1"/>
    </xf>
    <xf numFmtId="0" fontId="7" fillId="0" borderId="0" xfId="0" applyFont="1" applyAlignment="1">
      <alignment horizontal="center" vertical="center"/>
    </xf>
    <xf numFmtId="0" fontId="5" fillId="0" borderId="14" xfId="0" applyFont="1" applyBorder="1" applyAlignment="1">
      <alignment vertical="center" wrapText="1"/>
    </xf>
    <xf numFmtId="169" fontId="5" fillId="0" borderId="15" xfId="0" applyNumberFormat="1" applyFont="1" applyBorder="1" applyAlignment="1">
      <alignment horizontal="center" vertical="center" wrapText="1"/>
    </xf>
    <xf numFmtId="168" fontId="6" fillId="2" borderId="5" xfId="0" applyNumberFormat="1" applyFont="1" applyFill="1" applyBorder="1" applyAlignment="1" applyProtection="1">
      <alignment horizontal="center" vertical="center" wrapText="1"/>
      <protection locked="0"/>
    </xf>
    <xf numFmtId="168" fontId="6" fillId="2" borderId="6" xfId="0" applyNumberFormat="1" applyFont="1" applyFill="1" applyBorder="1" applyAlignment="1" applyProtection="1">
      <alignment horizontal="center" vertical="center" wrapText="1"/>
      <protection locked="0"/>
    </xf>
    <xf numFmtId="168" fontId="6" fillId="2" borderId="7" xfId="0" applyNumberFormat="1" applyFont="1" applyFill="1" applyBorder="1" applyAlignment="1" applyProtection="1">
      <alignment horizontal="center" vertical="center" wrapText="1"/>
      <protection locked="0"/>
    </xf>
    <xf numFmtId="168" fontId="6" fillId="2" borderId="8" xfId="0" applyNumberFormat="1" applyFont="1" applyFill="1" applyBorder="1" applyAlignment="1" applyProtection="1">
      <alignment horizontal="center" vertical="center" wrapText="1"/>
      <protection locked="0"/>
    </xf>
    <xf numFmtId="168" fontId="6" fillId="2" borderId="1" xfId="0" applyNumberFormat="1" applyFont="1" applyFill="1" applyBorder="1" applyAlignment="1" applyProtection="1">
      <alignment horizontal="center" vertical="center" wrapText="1"/>
      <protection locked="0"/>
    </xf>
    <xf numFmtId="168" fontId="6" fillId="2" borderId="9" xfId="0" applyNumberFormat="1" applyFont="1" applyFill="1" applyBorder="1" applyAlignment="1" applyProtection="1">
      <alignment horizontal="center" vertical="center" wrapText="1"/>
      <protection locked="0"/>
    </xf>
    <xf numFmtId="168" fontId="6" fillId="2" borderId="10" xfId="0" applyNumberFormat="1" applyFont="1" applyFill="1" applyBorder="1" applyAlignment="1" applyProtection="1">
      <alignment horizontal="center" vertical="center" wrapText="1"/>
      <protection locked="0"/>
    </xf>
    <xf numFmtId="168" fontId="6" fillId="2" borderId="11" xfId="0" applyNumberFormat="1" applyFont="1" applyFill="1" applyBorder="1" applyAlignment="1" applyProtection="1">
      <alignment horizontal="center" vertical="center" wrapText="1"/>
      <protection locked="0"/>
    </xf>
    <xf numFmtId="168" fontId="6" fillId="2" borderId="12" xfId="0" applyNumberFormat="1" applyFont="1" applyFill="1" applyBorder="1" applyAlignment="1" applyProtection="1">
      <alignment horizontal="center" vertical="center" wrapText="1"/>
      <protection locked="0"/>
    </xf>
    <xf numFmtId="14" fontId="0" fillId="2" borderId="1" xfId="0" applyNumberFormat="1" applyFill="1" applyBorder="1" applyAlignment="1" applyProtection="1">
      <alignment horizontal="center" vertical="center"/>
      <protection locked="0"/>
    </xf>
    <xf numFmtId="164"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20" fillId="0" borderId="0" xfId="0" applyFont="1"/>
    <xf numFmtId="0" fontId="21" fillId="0" borderId="0" xfId="0" applyFont="1"/>
    <xf numFmtId="1" fontId="20" fillId="0" borderId="0" xfId="0" applyNumberFormat="1" applyFont="1"/>
    <xf numFmtId="0" fontId="20" fillId="0" borderId="0" xfId="0" applyFont="1" applyProtection="1">
      <protection locked="0"/>
    </xf>
    <xf numFmtId="1" fontId="20" fillId="0" borderId="0" xfId="0" applyNumberFormat="1" applyFont="1" applyProtection="1">
      <protection locked="0"/>
    </xf>
    <xf numFmtId="0" fontId="15" fillId="3" borderId="9" xfId="0" applyFont="1" applyFill="1" applyBorder="1" applyAlignment="1">
      <alignment horizontal="center" vertical="center"/>
    </xf>
    <xf numFmtId="0" fontId="16" fillId="0" borderId="0" xfId="0" applyFont="1" applyAlignment="1"/>
    <xf numFmtId="0" fontId="16" fillId="0" borderId="0" xfId="0" applyFont="1" applyAlignment="1">
      <alignment horizontal="center"/>
    </xf>
    <xf numFmtId="0" fontId="10" fillId="0" borderId="1" xfId="0" applyFont="1" applyBorder="1" applyAlignment="1">
      <alignment horizontal="center" vertical="center"/>
    </xf>
    <xf numFmtId="0" fontId="4" fillId="0" borderId="1" xfId="0" applyFont="1" applyBorder="1" applyAlignment="1">
      <alignment horizontal="right" vertical="center"/>
    </xf>
    <xf numFmtId="0" fontId="22" fillId="0" borderId="0" xfId="0" applyFont="1" applyAlignment="1">
      <alignment horizontal="right" vertical="center"/>
    </xf>
    <xf numFmtId="0" fontId="4" fillId="0" borderId="1" xfId="0" applyFont="1" applyBorder="1" applyProtection="1">
      <protection locked="0"/>
    </xf>
    <xf numFmtId="167" fontId="4" fillId="0" borderId="1" xfId="0" applyNumberFormat="1" applyFont="1" applyBorder="1"/>
    <xf numFmtId="0" fontId="8" fillId="0" borderId="13" xfId="0" applyFont="1" applyBorder="1" applyAlignment="1">
      <alignment horizontal="center" vertical="center"/>
    </xf>
    <xf numFmtId="0" fontId="8" fillId="0" borderId="0" xfId="0" applyFont="1" applyAlignment="1">
      <alignment horizontal="center" vertical="center"/>
    </xf>
    <xf numFmtId="2" fontId="5" fillId="0" borderId="16" xfId="0" applyNumberFormat="1" applyFont="1" applyBorder="1" applyAlignment="1">
      <alignment horizontal="center" vertical="center" wrapText="1"/>
    </xf>
    <xf numFmtId="2" fontId="5" fillId="0" borderId="3" xfId="0" applyNumberFormat="1" applyFont="1" applyBorder="1" applyAlignment="1">
      <alignment horizontal="center" vertical="center" wrapText="1"/>
    </xf>
    <xf numFmtId="0" fontId="9" fillId="0" borderId="16" xfId="0" applyFont="1" applyBorder="1" applyAlignment="1">
      <alignment horizontal="right" vertical="center"/>
    </xf>
    <xf numFmtId="0" fontId="9" fillId="0" borderId="3" xfId="0" applyFont="1" applyBorder="1" applyAlignment="1">
      <alignment horizontal="right" vertical="center"/>
    </xf>
    <xf numFmtId="0" fontId="10" fillId="4" borderId="18" xfId="0" applyFont="1" applyFill="1" applyBorder="1" applyAlignment="1">
      <alignment horizontal="center"/>
    </xf>
    <xf numFmtId="0" fontId="10" fillId="4" borderId="19" xfId="0" applyFont="1" applyFill="1" applyBorder="1" applyAlignment="1">
      <alignment horizontal="center"/>
    </xf>
    <xf numFmtId="0" fontId="5" fillId="0" borderId="0" xfId="0" applyFont="1" applyAlignment="1">
      <alignment horizontal="center" vertical="center"/>
    </xf>
    <xf numFmtId="0" fontId="7" fillId="0" borderId="1" xfId="0" applyFont="1" applyBorder="1" applyAlignment="1">
      <alignment horizontal="center" vertical="center"/>
    </xf>
    <xf numFmtId="0" fontId="5" fillId="0" borderId="18" xfId="0" applyFont="1" applyBorder="1" applyAlignment="1">
      <alignment horizontal="center"/>
    </xf>
    <xf numFmtId="0" fontId="5" fillId="0" borderId="19" xfId="0" applyFont="1" applyBorder="1" applyAlignment="1">
      <alignment horizontal="center"/>
    </xf>
    <xf numFmtId="0" fontId="4" fillId="3" borderId="23" xfId="0" applyFont="1" applyFill="1" applyBorder="1" applyAlignment="1">
      <alignment horizontal="center" wrapText="1"/>
    </xf>
    <xf numFmtId="0" fontId="4" fillId="3" borderId="23" xfId="0" applyFont="1" applyFill="1" applyBorder="1" applyAlignment="1">
      <alignment horizontal="center"/>
    </xf>
    <xf numFmtId="0" fontId="4" fillId="3" borderId="26" xfId="0" applyFont="1" applyFill="1" applyBorder="1" applyAlignment="1">
      <alignment horizontal="center"/>
    </xf>
    <xf numFmtId="0" fontId="10" fillId="3" borderId="23" xfId="0" applyFont="1" applyFill="1" applyBorder="1" applyAlignment="1">
      <alignment horizontal="center" vertical="center"/>
    </xf>
    <xf numFmtId="0" fontId="10" fillId="3" borderId="26" xfId="0" applyFont="1" applyFill="1" applyBorder="1" applyAlignment="1">
      <alignment horizontal="center" vertical="center"/>
    </xf>
    <xf numFmtId="0" fontId="0" fillId="0" borderId="1" xfId="0" applyBorder="1" applyAlignment="1">
      <alignment horizontal="center" wrapText="1"/>
    </xf>
    <xf numFmtId="0" fontId="0" fillId="0" borderId="1" xfId="0" applyBorder="1" applyAlignment="1">
      <alignment horizontal="center"/>
    </xf>
    <xf numFmtId="0" fontId="1" fillId="0" borderId="1" xfId="0" applyFont="1" applyBorder="1" applyAlignment="1">
      <alignment horizontal="center"/>
    </xf>
    <xf numFmtId="0" fontId="0" fillId="0" borderId="1" xfId="0" applyBorder="1" applyAlignment="1">
      <alignment horizontal="center" vertical="center"/>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12" fillId="0" borderId="31" xfId="0" applyFont="1" applyBorder="1" applyAlignment="1">
      <alignment horizontal="center" vertical="center"/>
    </xf>
    <xf numFmtId="167" fontId="13" fillId="0" borderId="23" xfId="0" applyNumberFormat="1" applyFont="1" applyBorder="1" applyAlignment="1">
      <alignment horizontal="center" vertical="center" wrapText="1"/>
    </xf>
    <xf numFmtId="167" fontId="13" fillId="0" borderId="30" xfId="0" applyNumberFormat="1" applyFont="1" applyBorder="1" applyAlignment="1">
      <alignment horizontal="center" vertical="center" wrapText="1"/>
    </xf>
    <xf numFmtId="167" fontId="13" fillId="0" borderId="26" xfId="0" applyNumberFormat="1" applyFont="1" applyBorder="1" applyAlignment="1">
      <alignment horizontal="center" vertical="center" wrapText="1"/>
    </xf>
    <xf numFmtId="167" fontId="13" fillId="0" borderId="23" xfId="0" applyNumberFormat="1" applyFont="1" applyBorder="1" applyAlignment="1">
      <alignment horizontal="center" vertical="center"/>
    </xf>
    <xf numFmtId="167" fontId="13" fillId="0" borderId="30" xfId="0" applyNumberFormat="1" applyFont="1" applyBorder="1" applyAlignment="1">
      <alignment horizontal="center" vertical="center"/>
    </xf>
    <xf numFmtId="167" fontId="13" fillId="0" borderId="26" xfId="0" applyNumberFormat="1" applyFont="1" applyBorder="1" applyAlignment="1">
      <alignment horizontal="center" vertical="center"/>
    </xf>
    <xf numFmtId="0" fontId="4" fillId="0" borderId="1" xfId="0" applyFont="1" applyBorder="1" applyAlignment="1">
      <alignment horizontal="center"/>
    </xf>
    <xf numFmtId="0" fontId="14" fillId="0" borderId="0" xfId="0" applyFont="1" applyAlignment="1">
      <alignment horizontal="center" vertical="center"/>
    </xf>
    <xf numFmtId="4" fontId="4" fillId="2" borderId="18" xfId="0" applyNumberFormat="1" applyFont="1" applyFill="1" applyBorder="1" applyAlignment="1" applyProtection="1">
      <alignment horizontal="center" vertical="center"/>
      <protection locked="0"/>
    </xf>
    <xf numFmtId="4" fontId="4" fillId="2" borderId="27" xfId="0" applyNumberFormat="1" applyFont="1" applyFill="1" applyBorder="1" applyAlignment="1" applyProtection="1">
      <alignment horizontal="center" vertical="center"/>
      <protection locked="0"/>
    </xf>
    <xf numFmtId="4" fontId="4" fillId="2" borderId="19" xfId="0" applyNumberFormat="1" applyFont="1" applyFill="1" applyBorder="1" applyAlignment="1" applyProtection="1">
      <alignment horizontal="center" vertical="center"/>
      <protection locked="0"/>
    </xf>
    <xf numFmtId="0" fontId="14" fillId="0" borderId="10" xfId="0" applyFont="1" applyBorder="1" applyAlignment="1">
      <alignment horizontal="center" vertical="center"/>
    </xf>
    <xf numFmtId="0" fontId="14" fillId="0" borderId="11" xfId="0" applyFont="1" applyBorder="1" applyAlignment="1">
      <alignment horizontal="center" vertical="center"/>
    </xf>
    <xf numFmtId="168" fontId="10" fillId="3" borderId="11" xfId="0" applyNumberFormat="1" applyFont="1" applyFill="1" applyBorder="1" applyAlignment="1">
      <alignment horizontal="center" vertical="center"/>
    </xf>
    <xf numFmtId="0" fontId="14" fillId="0" borderId="1" xfId="0" applyFont="1" applyBorder="1" applyAlignment="1">
      <alignment horizontal="center" wrapText="1"/>
    </xf>
    <xf numFmtId="0" fontId="14" fillId="0" borderId="1" xfId="0" applyFont="1" applyBorder="1" applyAlignment="1">
      <alignment horizontal="center"/>
    </xf>
    <xf numFmtId="0" fontId="10" fillId="0" borderId="18" xfId="0" applyFont="1" applyBorder="1" applyAlignment="1">
      <alignment horizontal="center"/>
    </xf>
    <xf numFmtId="0" fontId="10" fillId="0" borderId="27" xfId="0" applyFont="1" applyBorder="1" applyAlignment="1">
      <alignment horizontal="center"/>
    </xf>
    <xf numFmtId="0" fontId="10" fillId="0" borderId="19" xfId="0" applyFont="1" applyBorder="1" applyAlignment="1">
      <alignment horizontal="center"/>
    </xf>
    <xf numFmtId="0" fontId="14" fillId="0" borderId="5" xfId="0" applyFont="1" applyBorder="1" applyAlignment="1">
      <alignment horizontal="left"/>
    </xf>
    <xf numFmtId="0" fontId="14" fillId="0" borderId="6" xfId="0" applyFont="1" applyBorder="1" applyAlignment="1">
      <alignment horizontal="left"/>
    </xf>
    <xf numFmtId="0" fontId="14" fillId="0" borderId="7" xfId="0" applyFont="1" applyBorder="1" applyAlignment="1">
      <alignment horizontal="left"/>
    </xf>
    <xf numFmtId="164" fontId="4" fillId="2" borderId="1" xfId="0" applyNumberFormat="1" applyFont="1" applyFill="1" applyBorder="1" applyAlignment="1" applyProtection="1">
      <alignment horizontal="center" vertical="center"/>
      <protection locked="0"/>
    </xf>
    <xf numFmtId="4" fontId="4" fillId="0" borderId="1" xfId="0" applyNumberFormat="1" applyFont="1" applyBorder="1" applyAlignment="1">
      <alignment horizontal="center" vertical="center"/>
    </xf>
    <xf numFmtId="4" fontId="4" fillId="0" borderId="18" xfId="0" applyNumberFormat="1" applyFont="1" applyBorder="1" applyAlignment="1">
      <alignment horizontal="center" vertical="center"/>
    </xf>
    <xf numFmtId="4" fontId="4" fillId="0" borderId="19" xfId="0" applyNumberFormat="1" applyFont="1" applyBorder="1" applyAlignment="1">
      <alignment horizontal="center" vertical="center"/>
    </xf>
    <xf numFmtId="0" fontId="15" fillId="0" borderId="32"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32" xfId="0" applyFont="1" applyBorder="1" applyAlignment="1">
      <alignment horizontal="center" vertical="center"/>
    </xf>
    <xf numFmtId="0" fontId="15" fillId="0" borderId="27" xfId="0" applyFont="1" applyBorder="1" applyAlignment="1">
      <alignment horizontal="center" vertical="center"/>
    </xf>
    <xf numFmtId="0" fontId="15" fillId="0" borderId="19" xfId="0" applyFont="1" applyBorder="1" applyAlignment="1">
      <alignment horizontal="center" vertical="center"/>
    </xf>
    <xf numFmtId="0" fontId="15" fillId="0" borderId="8" xfId="0" applyFont="1" applyBorder="1" applyAlignment="1">
      <alignment horizontal="center" vertical="center"/>
    </xf>
    <xf numFmtId="0" fontId="15" fillId="0" borderId="1" xfId="0" applyFont="1" applyBorder="1" applyAlignment="1">
      <alignment horizontal="center" vertical="center"/>
    </xf>
    <xf numFmtId="164" fontId="4" fillId="2" borderId="18" xfId="0" applyNumberFormat="1" applyFont="1" applyFill="1" applyBorder="1" applyAlignment="1" applyProtection="1">
      <alignment horizontal="center" vertical="center"/>
      <protection locked="0"/>
    </xf>
    <xf numFmtId="164" fontId="4" fillId="2" borderId="27" xfId="0" applyNumberFormat="1" applyFont="1" applyFill="1" applyBorder="1" applyAlignment="1" applyProtection="1">
      <alignment horizontal="center" vertical="center"/>
      <protection locked="0"/>
    </xf>
    <xf numFmtId="14" fontId="4" fillId="2" borderId="18" xfId="0" applyNumberFormat="1" applyFont="1" applyFill="1" applyBorder="1" applyAlignment="1" applyProtection="1">
      <alignment horizontal="center" vertical="center"/>
      <protection locked="0"/>
    </xf>
    <xf numFmtId="14" fontId="4" fillId="2" borderId="27" xfId="0" applyNumberFormat="1" applyFont="1" applyFill="1" applyBorder="1" applyAlignment="1" applyProtection="1">
      <alignment horizontal="center" vertical="center"/>
      <protection locked="0"/>
    </xf>
    <xf numFmtId="0" fontId="15" fillId="0" borderId="20"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37"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0" xfId="0" applyFont="1" applyAlignment="1">
      <alignment horizontal="center" vertical="center" wrapText="1"/>
    </xf>
    <xf numFmtId="0" fontId="15" fillId="0" borderId="38" xfId="0" applyFont="1" applyBorder="1" applyAlignment="1">
      <alignment horizontal="center" vertical="center" wrapText="1"/>
    </xf>
    <xf numFmtId="0" fontId="14" fillId="0" borderId="33" xfId="0" applyFont="1" applyBorder="1" applyAlignment="1">
      <alignment horizontal="left"/>
    </xf>
    <xf numFmtId="0" fontId="14" fillId="0" borderId="34" xfId="0" applyFont="1" applyBorder="1" applyAlignment="1">
      <alignment horizontal="left"/>
    </xf>
    <xf numFmtId="0" fontId="14" fillId="0" borderId="35" xfId="0" applyFont="1" applyBorder="1" applyAlignment="1">
      <alignment horizontal="left"/>
    </xf>
    <xf numFmtId="0" fontId="10" fillId="0" borderId="32" xfId="0" applyFont="1" applyBorder="1" applyAlignment="1">
      <alignment horizontal="center" vertical="center"/>
    </xf>
    <xf numFmtId="0" fontId="10" fillId="0" borderId="27" xfId="0" applyFont="1" applyBorder="1" applyAlignment="1">
      <alignment horizontal="center" vertical="center"/>
    </xf>
    <xf numFmtId="0" fontId="10" fillId="0" borderId="36" xfId="0" applyFont="1" applyBorder="1" applyAlignment="1">
      <alignment horizontal="center" vertical="center"/>
    </xf>
    <xf numFmtId="172" fontId="4" fillId="0" borderId="18" xfId="0" applyNumberFormat="1" applyFont="1" applyBorder="1" applyAlignment="1">
      <alignment horizontal="center" vertical="center"/>
    </xf>
    <xf numFmtId="172" fontId="4" fillId="0" borderId="27" xfId="0" applyNumberFormat="1" applyFont="1" applyBorder="1" applyAlignment="1">
      <alignment horizontal="center" vertical="center"/>
    </xf>
    <xf numFmtId="172" fontId="4" fillId="0" borderId="36" xfId="0" applyNumberFormat="1" applyFont="1" applyBorder="1" applyAlignment="1">
      <alignment horizontal="center" vertical="center"/>
    </xf>
    <xf numFmtId="164" fontId="4" fillId="2" borderId="19" xfId="0" applyNumberFormat="1"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10" fontId="4" fillId="2" borderId="18" xfId="0" applyNumberFormat="1" applyFont="1" applyFill="1" applyBorder="1" applyAlignment="1" applyProtection="1">
      <alignment horizontal="center" vertical="center"/>
      <protection locked="0"/>
    </xf>
    <xf numFmtId="10" fontId="4" fillId="2" borderId="19" xfId="0" applyNumberFormat="1" applyFont="1" applyFill="1" applyBorder="1" applyAlignment="1" applyProtection="1">
      <alignment horizontal="center" vertical="center"/>
      <protection locked="0"/>
    </xf>
    <xf numFmtId="4" fontId="4" fillId="2" borderId="1" xfId="0" applyNumberFormat="1" applyFont="1" applyFill="1" applyBorder="1" applyAlignment="1" applyProtection="1">
      <alignment horizontal="center"/>
      <protection locked="0"/>
    </xf>
    <xf numFmtId="0" fontId="14" fillId="0" borderId="23" xfId="0" applyFont="1" applyBorder="1" applyAlignment="1">
      <alignment horizontal="left" vertical="center"/>
    </xf>
    <xf numFmtId="4" fontId="4" fillId="0" borderId="20" xfId="0" applyNumberFormat="1" applyFont="1" applyBorder="1" applyAlignment="1">
      <alignment horizontal="center" vertical="center"/>
    </xf>
    <xf numFmtId="4" fontId="4" fillId="0" borderId="28" xfId="0" applyNumberFormat="1" applyFont="1" applyBorder="1" applyAlignment="1">
      <alignment horizontal="center" vertical="center"/>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4" fontId="10" fillId="3" borderId="11" xfId="0" applyNumberFormat="1" applyFont="1" applyFill="1" applyBorder="1" applyAlignment="1">
      <alignment horizontal="center" vertical="center"/>
    </xf>
    <xf numFmtId="0" fontId="5" fillId="0" borderId="11" xfId="0" applyFont="1" applyBorder="1" applyAlignment="1">
      <alignment horizontal="center" vertical="center" wrapText="1"/>
    </xf>
    <xf numFmtId="0" fontId="10" fillId="3" borderId="11" xfId="0" applyFont="1" applyFill="1" applyBorder="1" applyAlignment="1">
      <alignment horizontal="center" vertical="center"/>
    </xf>
    <xf numFmtId="0" fontId="10" fillId="3" borderId="12" xfId="0" applyFont="1" applyFill="1" applyBorder="1" applyAlignment="1">
      <alignment horizontal="center" vertical="center"/>
    </xf>
    <xf numFmtId="4" fontId="4" fillId="2" borderId="36" xfId="0" applyNumberFormat="1" applyFont="1" applyFill="1" applyBorder="1" applyAlignment="1" applyProtection="1">
      <alignment horizontal="center" vertical="center"/>
      <protection locked="0"/>
    </xf>
    <xf numFmtId="0" fontId="15" fillId="0" borderId="8"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0" xfId="0" applyFont="1" applyAlignment="1">
      <alignment horizontal="center" vertical="center"/>
    </xf>
    <xf numFmtId="0" fontId="15" fillId="0" borderId="8" xfId="0" applyFont="1" applyBorder="1" applyAlignment="1">
      <alignment horizontal="left" vertical="center" wrapText="1"/>
    </xf>
    <xf numFmtId="0" fontId="15" fillId="0" borderId="1" xfId="0" applyFont="1" applyBorder="1" applyAlignment="1">
      <alignment horizontal="left" vertical="center" wrapText="1"/>
    </xf>
    <xf numFmtId="168" fontId="4" fillId="0" borderId="1" xfId="0" applyNumberFormat="1" applyFont="1" applyBorder="1" applyAlignment="1">
      <alignment horizontal="center" vertical="center"/>
    </xf>
    <xf numFmtId="0" fontId="17" fillId="0" borderId="1" xfId="0" applyFont="1" applyBorder="1" applyAlignment="1">
      <alignment horizontal="center" vertical="center"/>
    </xf>
    <xf numFmtId="168" fontId="4" fillId="0" borderId="9" xfId="0" applyNumberFormat="1" applyFont="1" applyBorder="1" applyAlignment="1">
      <alignment horizontal="center" vertical="center"/>
    </xf>
    <xf numFmtId="1" fontId="4" fillId="0" borderId="1" xfId="0" applyNumberFormat="1" applyFont="1" applyBorder="1" applyAlignment="1">
      <alignment horizontal="center" vertical="center"/>
    </xf>
    <xf numFmtId="0" fontId="16" fillId="0" borderId="0" xfId="0" applyFont="1" applyAlignment="1">
      <alignment horizontal="center"/>
    </xf>
    <xf numFmtId="4" fontId="4" fillId="0" borderId="27" xfId="0" applyNumberFormat="1" applyFont="1" applyBorder="1" applyAlignment="1">
      <alignment horizontal="center" vertical="center"/>
    </xf>
    <xf numFmtId="4" fontId="4" fillId="0" borderId="36" xfId="0" applyNumberFormat="1" applyFont="1" applyBorder="1" applyAlignment="1">
      <alignment horizontal="center" vertical="center"/>
    </xf>
    <xf numFmtId="164" fontId="15" fillId="0" borderId="41" xfId="0" applyNumberFormat="1" applyFont="1" applyBorder="1" applyAlignment="1">
      <alignment horizontal="center" vertical="center" wrapText="1"/>
    </xf>
    <xf numFmtId="164" fontId="15" fillId="0" borderId="39" xfId="0" applyNumberFormat="1" applyFont="1" applyBorder="1" applyAlignment="1">
      <alignment horizontal="center" vertical="center" wrapText="1"/>
    </xf>
    <xf numFmtId="164" fontId="15" fillId="0" borderId="40" xfId="0" applyNumberFormat="1" applyFont="1" applyBorder="1" applyAlignment="1">
      <alignment horizontal="center" vertical="center" wrapText="1"/>
    </xf>
    <xf numFmtId="0" fontId="19" fillId="0" borderId="33" xfId="0" applyFont="1" applyBorder="1" applyAlignment="1">
      <alignment horizontal="center" vertical="center"/>
    </xf>
    <xf numFmtId="0" fontId="19" fillId="0" borderId="34" xfId="0" applyFont="1" applyBorder="1" applyAlignment="1">
      <alignment horizontal="center" vertical="center"/>
    </xf>
    <xf numFmtId="0" fontId="19" fillId="0" borderId="35" xfId="0" applyFont="1" applyBorder="1" applyAlignment="1">
      <alignment horizontal="center" vertical="center"/>
    </xf>
    <xf numFmtId="164" fontId="4" fillId="0" borderId="1" xfId="0" applyNumberFormat="1" applyFont="1" applyBorder="1" applyAlignment="1">
      <alignment horizontal="center" vertical="center"/>
    </xf>
    <xf numFmtId="164" fontId="4" fillId="0" borderId="9" xfId="0" applyNumberFormat="1" applyFont="1" applyBorder="1" applyAlignment="1">
      <alignment horizontal="center" vertical="center"/>
    </xf>
    <xf numFmtId="0" fontId="14" fillId="0" borderId="18" xfId="0" applyFont="1" applyBorder="1" applyAlignment="1">
      <alignment horizontal="center"/>
    </xf>
    <xf numFmtId="0" fontId="14" fillId="0" borderId="19" xfId="0" applyFont="1" applyBorder="1" applyAlignment="1">
      <alignment horizontal="center"/>
    </xf>
    <xf numFmtId="0" fontId="15" fillId="0" borderId="32" xfId="0" applyFont="1" applyBorder="1" applyAlignment="1">
      <alignment horizontal="center"/>
    </xf>
    <xf numFmtId="0" fontId="14" fillId="0" borderId="27" xfId="0" applyFont="1" applyBorder="1" applyAlignment="1">
      <alignment horizontal="center"/>
    </xf>
    <xf numFmtId="0" fontId="16" fillId="0" borderId="0" xfId="0" applyFont="1" applyAlignment="1">
      <alignment horizontal="center" wrapText="1"/>
    </xf>
    <xf numFmtId="0" fontId="16" fillId="0" borderId="20"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0" xfId="0" applyFont="1" applyAlignment="1">
      <alignment horizontal="center" vertical="center" wrapText="1"/>
    </xf>
    <xf numFmtId="0" fontId="16" fillId="0" borderId="38" xfId="0" applyFont="1" applyBorder="1" applyAlignment="1">
      <alignment horizontal="center" vertical="center" wrapText="1"/>
    </xf>
    <xf numFmtId="4" fontId="4" fillId="0" borderId="18" xfId="0" applyNumberFormat="1" applyFont="1" applyBorder="1" applyAlignment="1">
      <alignment horizontal="center"/>
    </xf>
    <xf numFmtId="0" fontId="4" fillId="0" borderId="19" xfId="0" applyFont="1" applyBorder="1" applyAlignment="1">
      <alignment horizontal="center"/>
    </xf>
    <xf numFmtId="0" fontId="4" fillId="0" borderId="27" xfId="0" applyFont="1" applyBorder="1" applyAlignment="1">
      <alignment horizontal="center"/>
    </xf>
    <xf numFmtId="0" fontId="15" fillId="2" borderId="1" xfId="0" applyFont="1" applyFill="1" applyBorder="1" applyAlignment="1" applyProtection="1">
      <alignment horizontal="left" vertical="center"/>
      <protection locked="0"/>
    </xf>
    <xf numFmtId="168" fontId="10" fillId="0" borderId="11" xfId="0" applyNumberFormat="1" applyFont="1" applyBorder="1" applyAlignment="1">
      <alignment horizontal="center" vertical="center"/>
    </xf>
    <xf numFmtId="168" fontId="10" fillId="0" borderId="12" xfId="0" applyNumberFormat="1" applyFont="1" applyBorder="1" applyAlignment="1">
      <alignment horizontal="center" vertical="center"/>
    </xf>
    <xf numFmtId="0" fontId="15" fillId="0" borderId="43"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7" xfId="0" applyFont="1" applyBorder="1" applyAlignment="1">
      <alignment horizontal="center" vertical="center" wrapText="1"/>
    </xf>
    <xf numFmtId="14" fontId="17" fillId="0" borderId="18" xfId="0" applyNumberFormat="1" applyFont="1" applyBorder="1" applyAlignment="1">
      <alignment horizontal="center"/>
    </xf>
    <xf numFmtId="14" fontId="17" fillId="0" borderId="27" xfId="0" applyNumberFormat="1" applyFont="1" applyBorder="1" applyAlignment="1">
      <alignment horizontal="center"/>
    </xf>
    <xf numFmtId="14" fontId="17" fillId="0" borderId="19" xfId="0" applyNumberFormat="1" applyFont="1" applyBorder="1" applyAlignment="1">
      <alignment horizontal="center"/>
    </xf>
    <xf numFmtId="0" fontId="15" fillId="0" borderId="18" xfId="0" applyFont="1" applyBorder="1" applyAlignment="1">
      <alignment horizontal="center" vertical="center"/>
    </xf>
    <xf numFmtId="4" fontId="17" fillId="0" borderId="1" xfId="0" applyNumberFormat="1" applyFont="1" applyBorder="1" applyAlignment="1">
      <alignment horizontal="center" vertical="center" wrapText="1"/>
    </xf>
    <xf numFmtId="0" fontId="10" fillId="3" borderId="1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36" xfId="0" applyFont="1" applyFill="1" applyBorder="1" applyAlignment="1">
      <alignment horizontal="center" vertical="center"/>
    </xf>
    <xf numFmtId="168" fontId="4" fillId="0" borderId="18" xfId="0" applyNumberFormat="1" applyFont="1" applyBorder="1" applyAlignment="1">
      <alignment horizontal="center" vertical="center"/>
    </xf>
    <xf numFmtId="168" fontId="4" fillId="0" borderId="27" xfId="0" applyNumberFormat="1" applyFont="1" applyBorder="1" applyAlignment="1">
      <alignment horizontal="center" vertical="center"/>
    </xf>
    <xf numFmtId="168" fontId="4" fillId="0" borderId="19" xfId="0" applyNumberFormat="1" applyFont="1" applyBorder="1" applyAlignment="1">
      <alignment horizontal="center" vertical="center"/>
    </xf>
    <xf numFmtId="0" fontId="10" fillId="0" borderId="1" xfId="0" applyFont="1" applyBorder="1" applyAlignment="1">
      <alignment horizontal="center" vertical="center"/>
    </xf>
    <xf numFmtId="10" fontId="10" fillId="2" borderId="1" xfId="0" applyNumberFormat="1" applyFont="1" applyFill="1" applyBorder="1" applyAlignment="1" applyProtection="1">
      <alignment horizontal="center" vertical="center"/>
      <protection locked="0"/>
    </xf>
    <xf numFmtId="10" fontId="10" fillId="2" borderId="9" xfId="0" applyNumberFormat="1" applyFont="1" applyFill="1" applyBorder="1" applyAlignment="1" applyProtection="1">
      <alignment horizontal="center" vertical="center"/>
      <protection locked="0"/>
    </xf>
    <xf numFmtId="0" fontId="14" fillId="0" borderId="8" xfId="0" applyFont="1" applyBorder="1" applyAlignment="1">
      <alignment horizontal="center" vertical="center" wrapText="1"/>
    </xf>
    <xf numFmtId="0" fontId="14" fillId="0" borderId="1" xfId="0" applyFont="1" applyBorder="1" applyAlignment="1">
      <alignment horizontal="center" vertical="center" wrapText="1"/>
    </xf>
    <xf numFmtId="164" fontId="4" fillId="0" borderId="18" xfId="0" applyNumberFormat="1" applyFont="1" applyBorder="1" applyAlignment="1">
      <alignment horizontal="center" vertical="center"/>
    </xf>
    <xf numFmtId="164" fontId="4" fillId="0" borderId="19" xfId="0" applyNumberFormat="1" applyFont="1" applyBorder="1" applyAlignment="1">
      <alignment horizontal="center" vertical="center"/>
    </xf>
    <xf numFmtId="4" fontId="4" fillId="2" borderId="1" xfId="0" applyNumberFormat="1" applyFont="1" applyFill="1" applyBorder="1" applyAlignment="1" applyProtection="1">
      <alignment horizontal="center" vertical="center"/>
      <protection locked="0"/>
    </xf>
    <xf numFmtId="1" fontId="4" fillId="0" borderId="18" xfId="0" applyNumberFormat="1" applyFont="1" applyBorder="1" applyAlignment="1">
      <alignment horizontal="center" vertical="center"/>
    </xf>
    <xf numFmtId="1" fontId="4" fillId="0" borderId="19" xfId="0" applyNumberFormat="1" applyFont="1" applyBorder="1" applyAlignment="1">
      <alignment horizontal="center" vertical="center"/>
    </xf>
    <xf numFmtId="1" fontId="4" fillId="0" borderId="9" xfId="0" applyNumberFormat="1" applyFont="1" applyBorder="1" applyAlignment="1">
      <alignment horizontal="center" vertical="center"/>
    </xf>
    <xf numFmtId="10" fontId="4" fillId="2" borderId="27" xfId="0" applyNumberFormat="1" applyFont="1" applyFill="1" applyBorder="1" applyAlignment="1" applyProtection="1">
      <alignment horizontal="center" vertical="center"/>
      <protection locked="0"/>
    </xf>
    <xf numFmtId="14" fontId="4" fillId="2" borderId="19" xfId="0" applyNumberFormat="1" applyFont="1" applyFill="1" applyBorder="1" applyAlignment="1" applyProtection="1">
      <alignment horizontal="center" vertical="center"/>
      <protection locked="0"/>
    </xf>
    <xf numFmtId="0" fontId="4" fillId="2" borderId="18" xfId="0" applyFont="1" applyFill="1" applyBorder="1" applyAlignment="1" applyProtection="1">
      <alignment horizontal="center" vertical="center"/>
      <protection locked="0"/>
    </xf>
    <xf numFmtId="0" fontId="4" fillId="2" borderId="27" xfId="0" applyFont="1" applyFill="1" applyBorder="1" applyAlignment="1" applyProtection="1">
      <alignment horizontal="center" vertical="center"/>
      <protection locked="0"/>
    </xf>
    <xf numFmtId="0" fontId="4" fillId="2" borderId="19" xfId="0" applyFont="1" applyFill="1" applyBorder="1" applyAlignment="1" applyProtection="1">
      <alignment horizontal="center" vertical="center"/>
      <protection locked="0"/>
    </xf>
    <xf numFmtId="168" fontId="10" fillId="3" borderId="41" xfId="0" applyNumberFormat="1" applyFont="1" applyFill="1" applyBorder="1" applyAlignment="1">
      <alignment horizontal="center" vertical="center"/>
    </xf>
    <xf numFmtId="168" fontId="10" fillId="3" borderId="39" xfId="0" applyNumberFormat="1" applyFont="1" applyFill="1" applyBorder="1" applyAlignment="1">
      <alignment horizontal="center" vertical="center"/>
    </xf>
    <xf numFmtId="168" fontId="10" fillId="3" borderId="42" xfId="0" applyNumberFormat="1" applyFont="1" applyFill="1" applyBorder="1" applyAlignment="1">
      <alignment horizontal="center" vertical="center"/>
    </xf>
    <xf numFmtId="0" fontId="15" fillId="0" borderId="0" xfId="0" applyFont="1" applyAlignment="1">
      <alignment horizontal="center" wrapText="1"/>
    </xf>
    <xf numFmtId="164" fontId="4" fillId="2" borderId="36" xfId="0" applyNumberFormat="1" applyFont="1" applyFill="1" applyBorder="1" applyAlignment="1" applyProtection="1">
      <alignment horizontal="center" vertical="center"/>
      <protection locked="0"/>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37" xfId="0" applyFont="1" applyBorder="1" applyAlignment="1">
      <alignment horizontal="center" vertical="center"/>
    </xf>
    <xf numFmtId="0" fontId="15" fillId="0" borderId="24" xfId="0" applyFont="1" applyBorder="1" applyAlignment="1">
      <alignment horizontal="center" vertical="center"/>
    </xf>
    <xf numFmtId="0" fontId="15" fillId="0" borderId="25" xfId="0" applyFont="1" applyBorder="1" applyAlignment="1">
      <alignment horizontal="center" vertical="center"/>
    </xf>
    <xf numFmtId="0" fontId="15" fillId="0" borderId="44" xfId="0" applyFont="1" applyBorder="1" applyAlignment="1">
      <alignment horizontal="center" vertical="center"/>
    </xf>
    <xf numFmtId="0" fontId="15" fillId="0" borderId="0" xfId="0" applyFont="1" applyAlignment="1">
      <alignment horizontal="center"/>
    </xf>
  </cellXfs>
  <cellStyles count="2">
    <cellStyle name="Normal" xfId="0" builtinId="0"/>
    <cellStyle name="Normal 3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workbookViewId="0">
      <selection activeCell="B3" sqref="B3"/>
    </sheetView>
  </sheetViews>
  <sheetFormatPr defaultRowHeight="15" x14ac:dyDescent="0.25"/>
  <cols>
    <col min="1" max="1" width="25.5703125" customWidth="1"/>
    <col min="2" max="2" width="13.42578125" bestFit="1" customWidth="1"/>
    <col min="3" max="3" width="17.28515625" customWidth="1"/>
    <col min="4" max="4" width="3.28515625" hidden="1" customWidth="1"/>
    <col min="5" max="5" width="12.28515625" hidden="1" customWidth="1"/>
  </cols>
  <sheetData>
    <row r="1" spans="1:6" x14ac:dyDescent="0.25">
      <c r="A1" s="1" t="s">
        <v>0</v>
      </c>
      <c r="B1" s="88">
        <v>30414</v>
      </c>
      <c r="D1" s="2" t="str">
        <f>B10</f>
        <v>E</v>
      </c>
      <c r="E1" s="3">
        <f>C10</f>
        <v>340125000</v>
      </c>
    </row>
    <row r="2" spans="1:6" x14ac:dyDescent="0.25">
      <c r="A2" s="1" t="s">
        <v>2</v>
      </c>
      <c r="B2" s="89">
        <f ca="1">TODAY()</f>
        <v>45964</v>
      </c>
      <c r="D2" s="2" t="str">
        <f t="shared" ref="D2:D6" si="0">B11</f>
        <v>E1</v>
      </c>
      <c r="E2" s="3">
        <f t="shared" ref="E2:E6" si="1">C11</f>
        <v>204075000</v>
      </c>
    </row>
    <row r="3" spans="1:6" x14ac:dyDescent="0.25">
      <c r="A3" s="1" t="s">
        <v>4</v>
      </c>
      <c r="B3" s="90" t="s">
        <v>3</v>
      </c>
      <c r="D3" s="2" t="str">
        <f t="shared" si="0"/>
        <v>F</v>
      </c>
      <c r="E3" s="3">
        <f t="shared" si="1"/>
        <v>102037500</v>
      </c>
      <c r="F3" s="4"/>
    </row>
    <row r="4" spans="1:6" x14ac:dyDescent="0.25">
      <c r="A4" s="1" t="s">
        <v>7</v>
      </c>
      <c r="B4" s="5">
        <f>VLOOKUP(B3,D1:E6,2,0)/5668750</f>
        <v>36</v>
      </c>
      <c r="D4" s="2" t="str">
        <f t="shared" si="0"/>
        <v>F1</v>
      </c>
      <c r="E4" s="3">
        <f t="shared" si="1"/>
        <v>86731875</v>
      </c>
      <c r="F4" s="4"/>
    </row>
    <row r="5" spans="1:6" x14ac:dyDescent="0.25">
      <c r="A5" s="1" t="s">
        <v>8</v>
      </c>
      <c r="B5" s="6">
        <f ca="1">(B2-B1)/365</f>
        <v>42.602739726027394</v>
      </c>
      <c r="D5" s="2" t="str">
        <f t="shared" si="0"/>
        <v>G</v>
      </c>
      <c r="E5" s="3">
        <f t="shared" si="1"/>
        <v>71426250</v>
      </c>
    </row>
    <row r="6" spans="1:6" x14ac:dyDescent="0.25">
      <c r="A6" s="1" t="s">
        <v>10</v>
      </c>
      <c r="B6" s="7">
        <f ca="1">(B2-B1)/365*5668750</f>
        <v>241504280.8219178</v>
      </c>
      <c r="D6" s="2" t="str">
        <f t="shared" si="0"/>
        <v>G1</v>
      </c>
      <c r="E6" s="3">
        <f t="shared" si="1"/>
        <v>51018750</v>
      </c>
    </row>
    <row r="7" spans="1:6" x14ac:dyDescent="0.25">
      <c r="A7" s="1" t="s">
        <v>12</v>
      </c>
      <c r="B7" s="8" t="str">
        <f ca="1">IF(B6&gt;=VLOOKUP(B3,D1:E6,2,0),"YETERLİ","YETERLİ DEĞİL")</f>
        <v>YETERLİ</v>
      </c>
    </row>
    <row r="8" spans="1:6" x14ac:dyDescent="0.25">
      <c r="A8" s="1" t="s">
        <v>13</v>
      </c>
      <c r="B8" s="8" t="str">
        <f ca="1">IFERROR(VLOOKUP(A16,$A$10:$C$15,2,0),"H")</f>
        <v>E1</v>
      </c>
    </row>
    <row r="9" spans="1:6" x14ac:dyDescent="0.25">
      <c r="A9" s="1" t="s">
        <v>14</v>
      </c>
      <c r="B9" s="8" t="str">
        <f ca="1">IF(OR(B8=B10,B8=B11,B8=B12,B8=B13)*AND(B3&lt;&gt;B14,B3&lt;&gt;B15),"GEREKLİ","GEREKLİ DEĞİL")</f>
        <v>GEREKLİ</v>
      </c>
    </row>
    <row r="10" spans="1:6" ht="15.75" hidden="1" x14ac:dyDescent="0.25">
      <c r="A10" s="91">
        <f t="shared" ref="A10:A15" ca="1" si="2">IF($B$6&gt;=C10,1,0)</f>
        <v>0</v>
      </c>
      <c r="B10" s="92" t="s">
        <v>1</v>
      </c>
      <c r="C10" s="93">
        <v>340125000</v>
      </c>
      <c r="D10" s="9"/>
      <c r="E10" s="9"/>
    </row>
    <row r="11" spans="1:6" ht="15.75" hidden="1" x14ac:dyDescent="0.25">
      <c r="A11" s="91">
        <f t="shared" ca="1" si="2"/>
        <v>1</v>
      </c>
      <c r="B11" s="91" t="s">
        <v>3</v>
      </c>
      <c r="C11" s="92">
        <v>204075000</v>
      </c>
      <c r="D11" s="9"/>
      <c r="E11" s="9"/>
    </row>
    <row r="12" spans="1:6" ht="15.75" hidden="1" x14ac:dyDescent="0.25">
      <c r="A12" s="91">
        <f t="shared" ca="1" si="2"/>
        <v>1</v>
      </c>
      <c r="B12" s="91" t="s">
        <v>6</v>
      </c>
      <c r="C12" s="92">
        <v>102037500</v>
      </c>
      <c r="D12" s="9"/>
      <c r="E12" s="9"/>
    </row>
    <row r="13" spans="1:6" ht="15.75" hidden="1" x14ac:dyDescent="0.25">
      <c r="A13" s="91">
        <f t="shared" ca="1" si="2"/>
        <v>1</v>
      </c>
      <c r="B13" s="91" t="s">
        <v>5</v>
      </c>
      <c r="C13" s="92">
        <v>86731875</v>
      </c>
      <c r="D13" s="9"/>
      <c r="E13" s="9"/>
    </row>
    <row r="14" spans="1:6" ht="15.75" hidden="1" x14ac:dyDescent="0.25">
      <c r="A14" s="91">
        <f t="shared" ca="1" si="2"/>
        <v>1</v>
      </c>
      <c r="B14" s="91" t="s">
        <v>9</v>
      </c>
      <c r="C14" s="92">
        <v>71426250</v>
      </c>
      <c r="D14" s="9"/>
      <c r="E14" s="9"/>
    </row>
    <row r="15" spans="1:6" ht="15.75" hidden="1" x14ac:dyDescent="0.25">
      <c r="A15" s="91">
        <f t="shared" ca="1" si="2"/>
        <v>1</v>
      </c>
      <c r="B15" s="91" t="s">
        <v>11</v>
      </c>
      <c r="C15" s="92">
        <v>51018750</v>
      </c>
    </row>
    <row r="16" spans="1:6" ht="15.75" hidden="1" x14ac:dyDescent="0.25">
      <c r="A16" s="92">
        <v>1</v>
      </c>
      <c r="B16" s="92"/>
      <c r="C16" s="92"/>
    </row>
    <row r="17" spans="1:3" ht="15.75" hidden="1" x14ac:dyDescent="0.25">
      <c r="A17" s="92"/>
      <c r="B17" s="92"/>
      <c r="C17" s="92"/>
    </row>
    <row r="18" spans="1:3" ht="15.75" x14ac:dyDescent="0.25">
      <c r="A18" s="92"/>
      <c r="B18" s="92"/>
      <c r="C18" s="92"/>
    </row>
  </sheetData>
  <sheetProtection algorithmName="SHA-512" hashValue="N9ESpVvaaPkW7CROzreSdA+jpo01pgtvNb6NVCZyTbQfL0V4CqIwcrorViOwKDg5ujjGA4CA2zViFgKbbfGLww==" saltValue="5H8ksblr3HykKH/Vjb760g==" spinCount="100000" sheet="1" objects="1" scenarios="1"/>
  <dataValidations count="1">
    <dataValidation type="list" allowBlank="1" showInputMessage="1" showErrorMessage="1" sqref="B3">
      <formula1>$D$1:$D$6</formula1>
    </dataValidation>
  </dataValidations>
  <pageMargins left="0.7" right="0.7" top="0.75" bottom="0.75" header="0.3" footer="0.3"/>
  <pageSetup paperSize="9" orientation="portrait" verticalDpi="0" r:id="rId1"/>
  <ignoredErrors>
    <ignoredError sqref="B2"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zoomScale="85" zoomScaleNormal="85" workbookViewId="0">
      <selection activeCell="G10" sqref="G10"/>
    </sheetView>
  </sheetViews>
  <sheetFormatPr defaultRowHeight="15" x14ac:dyDescent="0.25"/>
  <cols>
    <col min="1" max="1" width="49.28515625" customWidth="1"/>
    <col min="2" max="2" width="20.140625" bestFit="1" customWidth="1"/>
    <col min="3" max="4" width="19.140625" bestFit="1" customWidth="1"/>
    <col min="5" max="5" width="13.140625" bestFit="1" customWidth="1"/>
    <col min="6" max="7" width="11.85546875" bestFit="1" customWidth="1"/>
  </cols>
  <sheetData>
    <row r="1" spans="1:4" ht="15" customHeight="1" thickBot="1" x14ac:dyDescent="0.3">
      <c r="A1" s="73" t="s">
        <v>15</v>
      </c>
      <c r="B1" s="74">
        <v>2024</v>
      </c>
      <c r="C1" s="74">
        <v>2023</v>
      </c>
      <c r="D1" s="74">
        <v>2022</v>
      </c>
    </row>
    <row r="2" spans="1:4" ht="15" customHeight="1" thickBot="1" x14ac:dyDescent="0.3">
      <c r="A2" s="75" t="s">
        <v>16</v>
      </c>
      <c r="B2" s="79">
        <v>1.5</v>
      </c>
      <c r="C2" s="80"/>
      <c r="D2" s="81"/>
    </row>
    <row r="3" spans="1:4" ht="15" customHeight="1" thickBot="1" x14ac:dyDescent="0.3">
      <c r="A3" s="75" t="s">
        <v>17</v>
      </c>
      <c r="B3" s="82">
        <v>2</v>
      </c>
      <c r="C3" s="83"/>
      <c r="D3" s="84"/>
    </row>
    <row r="4" spans="1:4" ht="15" customHeight="1" thickBot="1" x14ac:dyDescent="0.3">
      <c r="A4" s="75" t="s">
        <v>18</v>
      </c>
      <c r="B4" s="82">
        <v>1.5</v>
      </c>
      <c r="C4" s="83"/>
      <c r="D4" s="84"/>
    </row>
    <row r="5" spans="1:4" ht="15" customHeight="1" thickBot="1" x14ac:dyDescent="0.3">
      <c r="A5" s="75" t="s">
        <v>19</v>
      </c>
      <c r="B5" s="82">
        <v>10</v>
      </c>
      <c r="C5" s="83"/>
      <c r="D5" s="84"/>
    </row>
    <row r="6" spans="1:4" ht="15" customHeight="1" thickBot="1" x14ac:dyDescent="0.3">
      <c r="A6" s="75" t="s">
        <v>20</v>
      </c>
      <c r="B6" s="82"/>
      <c r="C6" s="83"/>
      <c r="D6" s="84"/>
    </row>
    <row r="7" spans="1:4" ht="15" customHeight="1" thickBot="1" x14ac:dyDescent="0.3">
      <c r="A7" s="75" t="s">
        <v>21</v>
      </c>
      <c r="B7" s="82">
        <v>1.1200000000000001</v>
      </c>
      <c r="C7" s="83"/>
      <c r="D7" s="84"/>
    </row>
    <row r="8" spans="1:4" ht="15" customHeight="1" thickBot="1" x14ac:dyDescent="0.3">
      <c r="A8" s="75" t="s">
        <v>22</v>
      </c>
      <c r="B8" s="85"/>
      <c r="C8" s="86"/>
      <c r="D8" s="87"/>
    </row>
    <row r="9" spans="1:4" ht="15" customHeight="1" x14ac:dyDescent="0.25">
      <c r="A9" s="76"/>
    </row>
    <row r="10" spans="1:4" ht="15" customHeight="1" thickBot="1" x14ac:dyDescent="0.3">
      <c r="A10" s="104" t="s">
        <v>23</v>
      </c>
      <c r="B10" s="104"/>
      <c r="C10" s="105"/>
    </row>
    <row r="11" spans="1:4" ht="15" customHeight="1" thickBot="1" x14ac:dyDescent="0.3">
      <c r="A11" s="77" t="s">
        <v>24</v>
      </c>
      <c r="B11" s="78">
        <f>(B2+C2+D2-B6-C6-D6)/(B3+C3+D3-B8-C8-D8)</f>
        <v>0.75</v>
      </c>
      <c r="C11" s="106" t="str">
        <f>IF(B11&gt;=0.75,"YETERLİ","YETERLİ DEĞİL")</f>
        <v>YETERLİ</v>
      </c>
      <c r="D11" s="107"/>
    </row>
    <row r="12" spans="1:4" ht="15" customHeight="1" thickBot="1" x14ac:dyDescent="0.3">
      <c r="A12" s="77" t="s">
        <v>25</v>
      </c>
      <c r="B12" s="78">
        <f>(B4+C4+D4)/(B5+C5+D5-B6-C6-D6)</f>
        <v>0.15</v>
      </c>
      <c r="C12" s="106" t="str">
        <f>IF(B12&gt;=0.15,"YETERLİ","YETERLİ DEĞİL")</f>
        <v>YETERLİ</v>
      </c>
      <c r="D12" s="107"/>
    </row>
    <row r="13" spans="1:4" ht="15" customHeight="1" thickBot="1" x14ac:dyDescent="0.3">
      <c r="A13" s="77" t="s">
        <v>26</v>
      </c>
      <c r="B13" s="78">
        <f>(B7+C7+D7)/(B4+C4+D4)</f>
        <v>0.7466666666666667</v>
      </c>
      <c r="C13" s="106" t="str">
        <f>IF(B13&lt;0.75,"YETERLİ","YETERLİ DEĞİL")</f>
        <v>YETERLİ</v>
      </c>
      <c r="D13" s="107"/>
    </row>
    <row r="14" spans="1:4" ht="19.5" thickBot="1" x14ac:dyDescent="0.3">
      <c r="A14" s="108" t="s">
        <v>27</v>
      </c>
      <c r="B14" s="109"/>
      <c r="C14" s="106" t="str">
        <f t="shared" ref="C14" si="0">IF(OR($C$11="YETERLİ DEĞİL",$C$12="YETERLİ DEĞİL",$C$13="YETERLİ DEĞİL"),"YETERLİ DEĞİL","YETERLİ")</f>
        <v>YETERLİ</v>
      </c>
      <c r="D14" s="107"/>
    </row>
  </sheetData>
  <sheetProtection algorithmName="SHA-512" hashValue="KjZfT0EuhmoUN5OKyCov3yRGZ3csGuHg2Zl1i1pxtIsOSuqEvb1nTmBn8qwIOsTKAU/gues/nV36NP3iAzSWEA==" saltValue="VT0Y/KYAOoiNHcZEC8E7xg==" spinCount="100000" sheet="1" objects="1" scenarios="1"/>
  <mergeCells count="6">
    <mergeCell ref="A10:C10"/>
    <mergeCell ref="C11:D11"/>
    <mergeCell ref="C12:D12"/>
    <mergeCell ref="C13:D13"/>
    <mergeCell ref="A14:B14"/>
    <mergeCell ref="C14:D14"/>
  </mergeCells>
  <pageMargins left="0.7" right="0.7" top="0.75" bottom="0.75" header="0.3" footer="0.3"/>
  <pageSetup paperSize="9" scale="90"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3"/>
  <sheetViews>
    <sheetView zoomScale="85" zoomScaleNormal="85" workbookViewId="0">
      <selection activeCell="G14" sqref="G14"/>
    </sheetView>
  </sheetViews>
  <sheetFormatPr defaultRowHeight="15" x14ac:dyDescent="0.25"/>
  <cols>
    <col min="1" max="1" width="28.140625" customWidth="1"/>
    <col min="2" max="7" width="18.7109375" customWidth="1"/>
  </cols>
  <sheetData>
    <row r="1" spans="1:7" x14ac:dyDescent="0.25">
      <c r="A1" s="112" t="s">
        <v>28</v>
      </c>
      <c r="B1" s="112"/>
      <c r="C1" s="112"/>
      <c r="D1" s="112"/>
      <c r="E1" s="112"/>
      <c r="F1" s="112"/>
      <c r="G1" s="112"/>
    </row>
    <row r="2" spans="1:7" ht="15.75" thickBot="1" x14ac:dyDescent="0.3">
      <c r="A2" s="37"/>
      <c r="B2" s="38"/>
      <c r="D2" s="39"/>
    </row>
    <row r="3" spans="1:7" ht="15.75" thickBot="1" x14ac:dyDescent="0.3">
      <c r="A3" s="40" t="s">
        <v>29</v>
      </c>
      <c r="B3" s="41">
        <v>2024</v>
      </c>
      <c r="C3" s="41">
        <v>2023</v>
      </c>
      <c r="D3" s="41">
        <v>2022</v>
      </c>
      <c r="E3" s="41">
        <v>2021</v>
      </c>
      <c r="F3" s="41">
        <v>2020</v>
      </c>
      <c r="G3" s="41">
        <v>2019</v>
      </c>
    </row>
    <row r="4" spans="1:7" ht="15.75" thickBot="1" x14ac:dyDescent="0.3">
      <c r="A4" s="42" t="s">
        <v>30</v>
      </c>
      <c r="B4" s="71"/>
      <c r="C4" s="71"/>
      <c r="D4" s="71"/>
      <c r="E4" s="71"/>
      <c r="F4" s="71"/>
      <c r="G4" s="71"/>
    </row>
    <row r="5" spans="1:7" ht="15.75" thickBot="1" x14ac:dyDescent="0.3"/>
    <row r="6" spans="1:7" ht="15.75" thickBot="1" x14ac:dyDescent="0.3">
      <c r="A6" s="40" t="s">
        <v>29</v>
      </c>
      <c r="B6" s="41">
        <v>2024</v>
      </c>
      <c r="C6" s="41">
        <v>2023</v>
      </c>
      <c r="D6" s="41">
        <v>2022</v>
      </c>
    </row>
    <row r="7" spans="1:7" ht="15.75" thickBot="1" x14ac:dyDescent="0.3">
      <c r="A7" s="42" t="s">
        <v>31</v>
      </c>
      <c r="B7" s="71"/>
      <c r="C7" s="71"/>
      <c r="D7" s="71"/>
    </row>
    <row r="8" spans="1:7" x14ac:dyDescent="0.25">
      <c r="A8" s="36"/>
      <c r="B8" s="39"/>
    </row>
    <row r="9" spans="1:7" x14ac:dyDescent="0.25">
      <c r="A9" s="113" t="s">
        <v>32</v>
      </c>
      <c r="B9" s="113"/>
      <c r="C9" s="113"/>
      <c r="D9" s="113"/>
      <c r="E9" s="113"/>
      <c r="F9" s="113"/>
      <c r="G9" s="113"/>
    </row>
    <row r="10" spans="1:7" x14ac:dyDescent="0.25">
      <c r="A10" s="43" t="s">
        <v>33</v>
      </c>
      <c r="B10" s="44"/>
      <c r="C10" s="114">
        <f>'İş Deneyim'!S21</f>
        <v>4708.2</v>
      </c>
      <c r="D10" s="115"/>
      <c r="E10" s="45"/>
      <c r="F10" s="46"/>
      <c r="G10" s="46"/>
    </row>
    <row r="11" spans="1:7" x14ac:dyDescent="0.25">
      <c r="A11" s="47" t="s">
        <v>4</v>
      </c>
      <c r="B11" s="72" t="s">
        <v>3</v>
      </c>
      <c r="C11" s="48"/>
      <c r="D11" s="39"/>
      <c r="E11" s="9"/>
      <c r="F11" s="9"/>
      <c r="G11" s="9"/>
    </row>
    <row r="12" spans="1:7" ht="15.75" thickBot="1" x14ac:dyDescent="0.3">
      <c r="A12" s="49" t="s">
        <v>35</v>
      </c>
      <c r="B12" s="50">
        <f>VLOOKUP(B11,A23:C72,2)</f>
        <v>20407500</v>
      </c>
      <c r="C12" s="51"/>
      <c r="D12" s="52"/>
      <c r="E12" s="52"/>
      <c r="F12" s="9"/>
      <c r="G12" s="9"/>
    </row>
    <row r="13" spans="1:7" ht="15.75" thickBot="1" x14ac:dyDescent="0.3">
      <c r="A13" s="38"/>
      <c r="B13" s="41">
        <v>2024</v>
      </c>
      <c r="C13" s="41">
        <v>2023</v>
      </c>
      <c r="D13" s="41">
        <v>2022</v>
      </c>
      <c r="E13" s="41">
        <v>2021</v>
      </c>
      <c r="F13" s="41">
        <v>2020</v>
      </c>
      <c r="G13" s="41">
        <v>2019</v>
      </c>
    </row>
    <row r="14" spans="1:7" x14ac:dyDescent="0.25">
      <c r="A14" s="53" t="s">
        <v>36</v>
      </c>
      <c r="B14" s="54">
        <f>B4*C10/3483.25</f>
        <v>0</v>
      </c>
      <c r="C14" s="54">
        <f>C4*C10/2320.72</f>
        <v>0</v>
      </c>
      <c r="D14" s="55">
        <f>D4*C10/1652.75</f>
        <v>0</v>
      </c>
      <c r="E14" s="54">
        <f>E4*C10/693.54</f>
        <v>0</v>
      </c>
      <c r="F14" s="54">
        <f>F4*C10/485.37</f>
        <v>0</v>
      </c>
      <c r="G14" s="54">
        <f>G4*C10/457.16</f>
        <v>0</v>
      </c>
    </row>
    <row r="15" spans="1:7" x14ac:dyDescent="0.25">
      <c r="A15" s="56" t="s">
        <v>37</v>
      </c>
      <c r="B15" s="57" t="e">
        <f>SUM(B14:G14)/COUNTA(B4:G4)</f>
        <v>#DIV/0!</v>
      </c>
      <c r="C15" s="116" t="s">
        <v>38</v>
      </c>
      <c r="D15" s="117"/>
      <c r="E15" s="119" t="str">
        <f>IFERROR(VLOOKUP(D32,D23:F31,2,0),"F,F1,G1,G,H")</f>
        <v>F,F1,G1,G,H</v>
      </c>
      <c r="F15" s="9"/>
      <c r="G15" s="9"/>
    </row>
    <row r="16" spans="1:7" x14ac:dyDescent="0.25">
      <c r="A16" s="16" t="s">
        <v>39</v>
      </c>
      <c r="B16" s="58" t="e">
        <f>IF(B15&gt;=B12,"YETERLİ","YETERLİ DEĞİL")</f>
        <v>#DIV/0!</v>
      </c>
      <c r="C16" s="118"/>
      <c r="D16" s="118"/>
      <c r="E16" s="120"/>
      <c r="F16" s="9"/>
      <c r="G16" s="9"/>
    </row>
    <row r="17" spans="1:7" x14ac:dyDescent="0.25">
      <c r="A17" s="59"/>
      <c r="B17" s="60"/>
      <c r="C17" s="61"/>
      <c r="D17" s="61"/>
      <c r="E17" s="22"/>
      <c r="F17" s="9"/>
      <c r="G17" s="9"/>
    </row>
    <row r="18" spans="1:7" ht="15.75" thickBot="1" x14ac:dyDescent="0.3">
      <c r="A18" s="110" t="s">
        <v>40</v>
      </c>
      <c r="B18" s="111"/>
      <c r="C18" s="62">
        <f>VLOOKUP($B$11,$A$23:$C$72,3)</f>
        <v>16326000</v>
      </c>
    </row>
    <row r="19" spans="1:7" ht="15.75" thickBot="1" x14ac:dyDescent="0.3">
      <c r="A19" s="38"/>
      <c r="B19" s="41">
        <v>2024</v>
      </c>
      <c r="C19" s="41">
        <v>2023</v>
      </c>
      <c r="D19" s="41">
        <v>2022</v>
      </c>
      <c r="E19" s="63"/>
      <c r="F19" s="64"/>
      <c r="G19" s="63"/>
    </row>
    <row r="20" spans="1:7" x14ac:dyDescent="0.25">
      <c r="A20" s="53" t="s">
        <v>41</v>
      </c>
      <c r="B20" s="54">
        <f>B7*C10/3483.25</f>
        <v>0</v>
      </c>
      <c r="C20" s="55">
        <f>C7*C10/2320.72</f>
        <v>0</v>
      </c>
      <c r="D20" s="54">
        <f>D7*C10/1652.75</f>
        <v>0</v>
      </c>
      <c r="E20" s="65"/>
      <c r="F20" s="65"/>
      <c r="G20" s="65"/>
    </row>
    <row r="21" spans="1:7" x14ac:dyDescent="0.25">
      <c r="A21" s="16" t="s">
        <v>42</v>
      </c>
      <c r="B21" s="66" t="str">
        <f>IF(OR(B20&gt;=C18,C20&gt;=C18,D20&gt;=C18),"YETERLİ","YETERLİ DEĞİL")</f>
        <v>YETERLİ DEĞİL</v>
      </c>
      <c r="C21" s="9"/>
      <c r="D21" s="9"/>
      <c r="E21" s="9"/>
      <c r="F21" s="9"/>
      <c r="G21" s="9"/>
    </row>
    <row r="22" spans="1:7" hidden="1" x14ac:dyDescent="0.25"/>
    <row r="23" spans="1:7" ht="5.0999999999999996" hidden="1" customHeight="1" x14ac:dyDescent="0.25">
      <c r="A23" s="121" t="s">
        <v>4</v>
      </c>
      <c r="B23" s="123" t="s">
        <v>43</v>
      </c>
      <c r="C23" s="123"/>
      <c r="D23" s="67" t="e">
        <f>IF($B$15&gt;=F23,1,0)</f>
        <v>#DIV/0!</v>
      </c>
      <c r="E23" s="67" t="s">
        <v>44</v>
      </c>
      <c r="F23" s="68">
        <v>306112500</v>
      </c>
    </row>
    <row r="24" spans="1:7" ht="5.0999999999999996" hidden="1" customHeight="1" x14ac:dyDescent="0.25">
      <c r="A24" s="122"/>
      <c r="B24" s="123"/>
      <c r="C24" s="123"/>
      <c r="D24" s="67" t="e">
        <f t="shared" ref="D24:D31" si="0">IF($B$15&gt;=F24,1,0)</f>
        <v>#DIV/0!</v>
      </c>
      <c r="E24" s="67" t="s">
        <v>45</v>
      </c>
      <c r="F24" s="68">
        <v>214278750</v>
      </c>
    </row>
    <row r="25" spans="1:7" ht="5.0999999999999996" hidden="1" customHeight="1" x14ac:dyDescent="0.25">
      <c r="A25" s="122"/>
      <c r="B25" s="123"/>
      <c r="C25" s="123"/>
      <c r="D25" s="67" t="e">
        <f t="shared" si="0"/>
        <v>#DIV/0!</v>
      </c>
      <c r="E25" s="67" t="s">
        <v>46</v>
      </c>
      <c r="F25" s="68">
        <v>183667500</v>
      </c>
    </row>
    <row r="26" spans="1:7" ht="5.0999999999999996" hidden="1" customHeight="1" x14ac:dyDescent="0.25">
      <c r="A26" s="122"/>
      <c r="B26" s="124" t="s">
        <v>47</v>
      </c>
      <c r="C26" s="124" t="s">
        <v>48</v>
      </c>
      <c r="D26" s="67" t="e">
        <f t="shared" si="0"/>
        <v>#DIV/0!</v>
      </c>
      <c r="E26" s="67" t="s">
        <v>49</v>
      </c>
      <c r="F26" s="68">
        <v>153056250</v>
      </c>
    </row>
    <row r="27" spans="1:7" ht="5.0999999999999996" hidden="1" customHeight="1" x14ac:dyDescent="0.25">
      <c r="A27" s="122"/>
      <c r="B27" s="124"/>
      <c r="C27" s="124"/>
      <c r="D27" s="67" t="e">
        <f t="shared" si="0"/>
        <v>#DIV/0!</v>
      </c>
      <c r="E27" s="67" t="s">
        <v>50</v>
      </c>
      <c r="F27" s="68">
        <v>127546875</v>
      </c>
    </row>
    <row r="28" spans="1:7" ht="5.0999999999999996" hidden="1" customHeight="1" x14ac:dyDescent="0.25">
      <c r="A28" s="125" t="s">
        <v>44</v>
      </c>
      <c r="B28" s="128">
        <v>306112500</v>
      </c>
      <c r="C28" s="131">
        <v>244890000</v>
      </c>
      <c r="D28" s="67" t="e">
        <f t="shared" si="0"/>
        <v>#DIV/0!</v>
      </c>
      <c r="E28" s="67" t="s">
        <v>51</v>
      </c>
      <c r="F28" s="68">
        <v>102037500</v>
      </c>
    </row>
    <row r="29" spans="1:7" ht="5.0999999999999996" hidden="1" customHeight="1" x14ac:dyDescent="0.25">
      <c r="A29" s="126"/>
      <c r="B29" s="129"/>
      <c r="C29" s="132"/>
      <c r="D29" s="67" t="e">
        <f t="shared" si="0"/>
        <v>#DIV/0!</v>
      </c>
      <c r="E29" s="67" t="s">
        <v>34</v>
      </c>
      <c r="F29" s="68">
        <v>76528125</v>
      </c>
    </row>
    <row r="30" spans="1:7" ht="5.0999999999999996" hidden="1" customHeight="1" x14ac:dyDescent="0.25">
      <c r="A30" s="126"/>
      <c r="B30" s="129"/>
      <c r="C30" s="132"/>
      <c r="D30" s="67" t="e">
        <f t="shared" si="0"/>
        <v>#DIV/0!</v>
      </c>
      <c r="E30" s="67" t="s">
        <v>1</v>
      </c>
      <c r="F30" s="69">
        <v>34012500</v>
      </c>
    </row>
    <row r="31" spans="1:7" ht="5.0999999999999996" hidden="1" customHeight="1" x14ac:dyDescent="0.25">
      <c r="A31" s="126"/>
      <c r="B31" s="129"/>
      <c r="C31" s="132"/>
      <c r="D31" s="67" t="e">
        <f t="shared" si="0"/>
        <v>#DIV/0!</v>
      </c>
      <c r="E31" s="67" t="s">
        <v>3</v>
      </c>
      <c r="F31" s="69">
        <v>20407500</v>
      </c>
    </row>
    <row r="32" spans="1:7" ht="5.0999999999999996" hidden="1" customHeight="1" x14ac:dyDescent="0.25">
      <c r="A32" s="127"/>
      <c r="B32" s="130"/>
      <c r="C32" s="133"/>
      <c r="D32" s="67">
        <v>1</v>
      </c>
      <c r="E32" s="67"/>
      <c r="F32" s="70"/>
    </row>
    <row r="33" spans="1:5" ht="5.0999999999999996" hidden="1" customHeight="1" x14ac:dyDescent="0.25">
      <c r="A33" s="125" t="s">
        <v>45</v>
      </c>
      <c r="B33" s="128">
        <v>214278750</v>
      </c>
      <c r="C33" s="131">
        <v>171423000</v>
      </c>
      <c r="D33" s="9"/>
      <c r="E33" s="9"/>
    </row>
    <row r="34" spans="1:5" ht="5.0999999999999996" hidden="1" customHeight="1" x14ac:dyDescent="0.25">
      <c r="A34" s="126"/>
      <c r="B34" s="129"/>
      <c r="C34" s="132"/>
      <c r="D34" s="9"/>
      <c r="E34" s="9"/>
    </row>
    <row r="35" spans="1:5" ht="5.0999999999999996" hidden="1" customHeight="1" x14ac:dyDescent="0.25">
      <c r="A35" s="126"/>
      <c r="B35" s="129"/>
      <c r="C35" s="132"/>
      <c r="D35" s="9"/>
      <c r="E35" s="9"/>
    </row>
    <row r="36" spans="1:5" ht="5.0999999999999996" hidden="1" customHeight="1" x14ac:dyDescent="0.25">
      <c r="A36" s="126"/>
      <c r="B36" s="129"/>
      <c r="C36" s="132"/>
    </row>
    <row r="37" spans="1:5" ht="5.0999999999999996" hidden="1" customHeight="1" x14ac:dyDescent="0.25">
      <c r="A37" s="127"/>
      <c r="B37" s="130"/>
      <c r="C37" s="133"/>
    </row>
    <row r="38" spans="1:5" ht="5.0999999999999996" hidden="1" customHeight="1" x14ac:dyDescent="0.25">
      <c r="A38" s="125" t="s">
        <v>46</v>
      </c>
      <c r="B38" s="128">
        <v>183667500</v>
      </c>
      <c r="C38" s="131">
        <v>146934000</v>
      </c>
    </row>
    <row r="39" spans="1:5" ht="5.0999999999999996" hidden="1" customHeight="1" x14ac:dyDescent="0.25">
      <c r="A39" s="126"/>
      <c r="B39" s="129"/>
      <c r="C39" s="132"/>
    </row>
    <row r="40" spans="1:5" ht="5.0999999999999996" hidden="1" customHeight="1" x14ac:dyDescent="0.25">
      <c r="A40" s="126"/>
      <c r="B40" s="129"/>
      <c r="C40" s="132"/>
    </row>
    <row r="41" spans="1:5" ht="5.0999999999999996" hidden="1" customHeight="1" x14ac:dyDescent="0.25">
      <c r="A41" s="126"/>
      <c r="B41" s="129"/>
      <c r="C41" s="132"/>
    </row>
    <row r="42" spans="1:5" ht="5.0999999999999996" hidden="1" customHeight="1" x14ac:dyDescent="0.25">
      <c r="A42" s="127"/>
      <c r="B42" s="130"/>
      <c r="C42" s="133"/>
    </row>
    <row r="43" spans="1:5" ht="5.0999999999999996" hidden="1" customHeight="1" x14ac:dyDescent="0.25">
      <c r="A43" s="125" t="s">
        <v>49</v>
      </c>
      <c r="B43" s="128">
        <v>153056250</v>
      </c>
      <c r="C43" s="131">
        <v>122445000</v>
      </c>
    </row>
    <row r="44" spans="1:5" ht="5.0999999999999996" hidden="1" customHeight="1" x14ac:dyDescent="0.25">
      <c r="A44" s="126"/>
      <c r="B44" s="129"/>
      <c r="C44" s="132"/>
    </row>
    <row r="45" spans="1:5" ht="5.0999999999999996" hidden="1" customHeight="1" x14ac:dyDescent="0.25">
      <c r="A45" s="126"/>
      <c r="B45" s="129"/>
      <c r="C45" s="132"/>
    </row>
    <row r="46" spans="1:5" ht="5.0999999999999996" hidden="1" customHeight="1" x14ac:dyDescent="0.25">
      <c r="A46" s="126"/>
      <c r="B46" s="129"/>
      <c r="C46" s="132"/>
    </row>
    <row r="47" spans="1:5" ht="5.0999999999999996" hidden="1" customHeight="1" x14ac:dyDescent="0.25">
      <c r="A47" s="127"/>
      <c r="B47" s="130"/>
      <c r="C47" s="133"/>
    </row>
    <row r="48" spans="1:5" ht="5.0999999999999996" hidden="1" customHeight="1" x14ac:dyDescent="0.25">
      <c r="A48" s="125" t="s">
        <v>50</v>
      </c>
      <c r="B48" s="128">
        <v>127546875</v>
      </c>
      <c r="C48" s="131">
        <v>102037500</v>
      </c>
    </row>
    <row r="49" spans="1:3" ht="5.0999999999999996" hidden="1" customHeight="1" x14ac:dyDescent="0.25">
      <c r="A49" s="126"/>
      <c r="B49" s="129"/>
      <c r="C49" s="132"/>
    </row>
    <row r="50" spans="1:3" ht="5.0999999999999996" hidden="1" customHeight="1" x14ac:dyDescent="0.25">
      <c r="A50" s="126"/>
      <c r="B50" s="129"/>
      <c r="C50" s="132"/>
    </row>
    <row r="51" spans="1:3" ht="5.0999999999999996" hidden="1" customHeight="1" x14ac:dyDescent="0.25">
      <c r="A51" s="126"/>
      <c r="B51" s="129"/>
      <c r="C51" s="132"/>
    </row>
    <row r="52" spans="1:3" ht="5.0999999999999996" hidden="1" customHeight="1" x14ac:dyDescent="0.25">
      <c r="A52" s="127"/>
      <c r="B52" s="130"/>
      <c r="C52" s="133"/>
    </row>
    <row r="53" spans="1:3" ht="5.0999999999999996" hidden="1" customHeight="1" x14ac:dyDescent="0.25">
      <c r="A53" s="125" t="s">
        <v>51</v>
      </c>
      <c r="B53" s="128">
        <v>102037500</v>
      </c>
      <c r="C53" s="131">
        <v>81630000</v>
      </c>
    </row>
    <row r="54" spans="1:3" ht="5.0999999999999996" hidden="1" customHeight="1" x14ac:dyDescent="0.25">
      <c r="A54" s="126"/>
      <c r="B54" s="129"/>
      <c r="C54" s="132"/>
    </row>
    <row r="55" spans="1:3" ht="5.0999999999999996" hidden="1" customHeight="1" x14ac:dyDescent="0.25">
      <c r="A55" s="126"/>
      <c r="B55" s="129"/>
      <c r="C55" s="132"/>
    </row>
    <row r="56" spans="1:3" ht="5.0999999999999996" hidden="1" customHeight="1" x14ac:dyDescent="0.25">
      <c r="A56" s="126"/>
      <c r="B56" s="129"/>
      <c r="C56" s="132"/>
    </row>
    <row r="57" spans="1:3" ht="5.0999999999999996" hidden="1" customHeight="1" x14ac:dyDescent="0.25">
      <c r="A57" s="127"/>
      <c r="B57" s="130"/>
      <c r="C57" s="133"/>
    </row>
    <row r="58" spans="1:3" ht="5.0999999999999996" hidden="1" customHeight="1" x14ac:dyDescent="0.25">
      <c r="A58" s="125" t="s">
        <v>34</v>
      </c>
      <c r="B58" s="128">
        <v>76528125</v>
      </c>
      <c r="C58" s="131">
        <v>61222500</v>
      </c>
    </row>
    <row r="59" spans="1:3" ht="5.0999999999999996" hidden="1" customHeight="1" x14ac:dyDescent="0.25">
      <c r="A59" s="126"/>
      <c r="B59" s="129"/>
      <c r="C59" s="132"/>
    </row>
    <row r="60" spans="1:3" ht="5.0999999999999996" hidden="1" customHeight="1" x14ac:dyDescent="0.25">
      <c r="A60" s="126"/>
      <c r="B60" s="129"/>
      <c r="C60" s="132"/>
    </row>
    <row r="61" spans="1:3" ht="5.0999999999999996" hidden="1" customHeight="1" x14ac:dyDescent="0.25">
      <c r="A61" s="126"/>
      <c r="B61" s="129"/>
      <c r="C61" s="132"/>
    </row>
    <row r="62" spans="1:3" ht="5.0999999999999996" hidden="1" customHeight="1" x14ac:dyDescent="0.25">
      <c r="A62" s="127"/>
      <c r="B62" s="130"/>
      <c r="C62" s="133"/>
    </row>
    <row r="63" spans="1:3" ht="5.0999999999999996" hidden="1" customHeight="1" x14ac:dyDescent="0.25">
      <c r="A63" s="125" t="s">
        <v>1</v>
      </c>
      <c r="B63" s="131">
        <v>34012500</v>
      </c>
      <c r="C63" s="131">
        <v>27210000</v>
      </c>
    </row>
    <row r="64" spans="1:3" ht="5.0999999999999996" hidden="1" customHeight="1" x14ac:dyDescent="0.25">
      <c r="A64" s="126"/>
      <c r="B64" s="132"/>
      <c r="C64" s="132"/>
    </row>
    <row r="65" spans="1:3" ht="5.0999999999999996" hidden="1" customHeight="1" x14ac:dyDescent="0.25">
      <c r="A65" s="126"/>
      <c r="B65" s="132"/>
      <c r="C65" s="132"/>
    </row>
    <row r="66" spans="1:3" ht="5.0999999999999996" hidden="1" customHeight="1" x14ac:dyDescent="0.25">
      <c r="A66" s="126"/>
      <c r="B66" s="132"/>
      <c r="C66" s="132"/>
    </row>
    <row r="67" spans="1:3" ht="5.0999999999999996" hidden="1" customHeight="1" x14ac:dyDescent="0.25">
      <c r="A67" s="127"/>
      <c r="B67" s="133"/>
      <c r="C67" s="133"/>
    </row>
    <row r="68" spans="1:3" ht="5.0999999999999996" hidden="1" customHeight="1" x14ac:dyDescent="0.25">
      <c r="A68" s="125" t="s">
        <v>3</v>
      </c>
      <c r="B68" s="131">
        <v>20407500</v>
      </c>
      <c r="C68" s="131">
        <v>16326000</v>
      </c>
    </row>
    <row r="69" spans="1:3" ht="5.0999999999999996" hidden="1" customHeight="1" x14ac:dyDescent="0.25">
      <c r="A69" s="126"/>
      <c r="B69" s="132"/>
      <c r="C69" s="132"/>
    </row>
    <row r="70" spans="1:3" ht="5.0999999999999996" hidden="1" customHeight="1" x14ac:dyDescent="0.25">
      <c r="A70" s="126"/>
      <c r="B70" s="132"/>
      <c r="C70" s="132"/>
    </row>
    <row r="71" spans="1:3" ht="5.0999999999999996" hidden="1" customHeight="1" x14ac:dyDescent="0.25">
      <c r="A71" s="126"/>
      <c r="B71" s="132"/>
      <c r="C71" s="132"/>
    </row>
    <row r="72" spans="1:3" ht="5.0999999999999996" hidden="1" customHeight="1" x14ac:dyDescent="0.25">
      <c r="A72" s="127"/>
      <c r="B72" s="133"/>
      <c r="C72" s="133"/>
    </row>
    <row r="73" spans="1:3" hidden="1" x14ac:dyDescent="0.25"/>
  </sheetData>
  <sheetProtection algorithmName="SHA-512" hashValue="F2VvWuG61OiM7PBVGhxNjKspth2mB8pqQ49WfAcWyEg2A3gwOHy1mnkM6TvgszMlYYJnZHEqZ5yRUopCPUg3aQ==" saltValue="9HtCFWiqG7CZ5igDnRo1Mg==" spinCount="100000" sheet="1" objects="1" scenarios="1"/>
  <mergeCells count="37">
    <mergeCell ref="A63:A67"/>
    <mergeCell ref="B63:B67"/>
    <mergeCell ref="C63:C67"/>
    <mergeCell ref="A68:A72"/>
    <mergeCell ref="B68:B72"/>
    <mergeCell ref="C68:C72"/>
    <mergeCell ref="A53:A57"/>
    <mergeCell ref="B53:B57"/>
    <mergeCell ref="C53:C57"/>
    <mergeCell ref="A58:A62"/>
    <mergeCell ref="B58:B62"/>
    <mergeCell ref="C58:C62"/>
    <mergeCell ref="A43:A47"/>
    <mergeCell ref="B43:B47"/>
    <mergeCell ref="C43:C47"/>
    <mergeCell ref="A48:A52"/>
    <mergeCell ref="B48:B52"/>
    <mergeCell ref="C48:C52"/>
    <mergeCell ref="A33:A37"/>
    <mergeCell ref="B33:B37"/>
    <mergeCell ref="C33:C37"/>
    <mergeCell ref="A38:A42"/>
    <mergeCell ref="B38:B42"/>
    <mergeCell ref="C38:C42"/>
    <mergeCell ref="A23:A27"/>
    <mergeCell ref="B23:C25"/>
    <mergeCell ref="B26:B27"/>
    <mergeCell ref="C26:C27"/>
    <mergeCell ref="A28:A32"/>
    <mergeCell ref="B28:B32"/>
    <mergeCell ref="C28:C32"/>
    <mergeCell ref="A18:B18"/>
    <mergeCell ref="A1:G1"/>
    <mergeCell ref="A9:G9"/>
    <mergeCell ref="C10:D10"/>
    <mergeCell ref="C15:D16"/>
    <mergeCell ref="E15:E16"/>
  </mergeCells>
  <dataValidations disablePrompts="1" count="1">
    <dataValidation type="list" allowBlank="1" showInputMessage="1" showErrorMessage="1" sqref="B11">
      <formula1>$E$23:$E$31</formula1>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56"/>
  <sheetViews>
    <sheetView tabSelected="1" zoomScale="85" zoomScaleNormal="85" workbookViewId="0">
      <selection activeCell="AO14" sqref="AO14"/>
    </sheetView>
  </sheetViews>
  <sheetFormatPr defaultRowHeight="15" x14ac:dyDescent="0.25"/>
  <cols>
    <col min="1" max="1" width="14.7109375" style="10" customWidth="1"/>
    <col min="2" max="2" width="13.85546875" style="10" customWidth="1"/>
    <col min="3" max="3" width="12.42578125" style="10" bestFit="1" customWidth="1"/>
    <col min="4" max="4" width="10.140625" style="10" bestFit="1" customWidth="1"/>
    <col min="5" max="5" width="7.28515625" style="10" customWidth="1"/>
    <col min="6" max="6" width="8.85546875" style="10" customWidth="1"/>
    <col min="7" max="8" width="6.85546875" style="10" customWidth="1"/>
    <col min="9" max="10" width="7.42578125" style="10" customWidth="1"/>
    <col min="11" max="12" width="7.140625" style="10" customWidth="1"/>
    <col min="13" max="15" width="8.5703125" style="10" customWidth="1"/>
    <col min="16" max="16" width="10.7109375" style="10" hidden="1" customWidth="1"/>
    <col min="17" max="17" width="6.42578125" style="10" hidden="1" customWidth="1"/>
    <col min="18" max="18" width="11.28515625" style="10" hidden="1" customWidth="1"/>
    <col min="19" max="19" width="9.28515625" style="10" hidden="1" customWidth="1"/>
    <col min="20" max="20" width="14.28515625" style="10" hidden="1" customWidth="1"/>
    <col min="21" max="21" width="11" style="10" hidden="1" customWidth="1"/>
    <col min="22" max="22" width="10.7109375" style="10" hidden="1" customWidth="1"/>
    <col min="23" max="28" width="10" style="10" hidden="1" customWidth="1"/>
    <col min="29" max="30" width="12.28515625" style="10" hidden="1" customWidth="1"/>
    <col min="31" max="31" width="13.140625" style="10" hidden="1" customWidth="1"/>
    <col min="32" max="32" width="9" style="10" hidden="1" customWidth="1"/>
    <col min="33" max="33" width="9.140625" style="10" hidden="1" customWidth="1"/>
    <col min="34" max="35" width="0" style="10" hidden="1" customWidth="1"/>
    <col min="36" max="16384" width="9.140625" style="10"/>
  </cols>
  <sheetData>
    <row r="1" spans="1:32" ht="12.95" customHeight="1" x14ac:dyDescent="0.25">
      <c r="A1" s="147" t="s">
        <v>117</v>
      </c>
      <c r="B1" s="148"/>
      <c r="C1" s="148"/>
      <c r="D1" s="148"/>
      <c r="E1" s="148"/>
      <c r="F1" s="148"/>
      <c r="G1" s="148"/>
      <c r="H1" s="148"/>
      <c r="I1" s="148"/>
      <c r="J1" s="148"/>
      <c r="K1" s="148"/>
      <c r="L1" s="148"/>
      <c r="M1" s="148"/>
      <c r="N1" s="148"/>
      <c r="O1" s="149"/>
      <c r="P1" s="9"/>
      <c r="Q1" s="99" t="s">
        <v>53</v>
      </c>
      <c r="R1" s="99">
        <v>1</v>
      </c>
      <c r="S1" s="99">
        <v>2</v>
      </c>
      <c r="T1" s="99">
        <v>3</v>
      </c>
      <c r="U1" s="99">
        <v>4</v>
      </c>
      <c r="V1" s="99">
        <v>5</v>
      </c>
      <c r="W1" s="99">
        <v>6</v>
      </c>
      <c r="X1" s="99">
        <v>7</v>
      </c>
      <c r="Y1" s="99">
        <v>8</v>
      </c>
      <c r="Z1" s="99">
        <v>9</v>
      </c>
      <c r="AA1" s="99">
        <v>10</v>
      </c>
      <c r="AB1" s="99">
        <v>11</v>
      </c>
      <c r="AC1" s="99">
        <v>12</v>
      </c>
      <c r="AD1" s="9"/>
      <c r="AE1" s="9"/>
      <c r="AF1" s="9"/>
    </row>
    <row r="2" spans="1:32" ht="12.95" customHeight="1" x14ac:dyDescent="0.25">
      <c r="A2" s="218" t="s">
        <v>108</v>
      </c>
      <c r="B2" s="219"/>
      <c r="C2" s="219"/>
      <c r="D2" s="217"/>
      <c r="E2" s="216">
        <v>1</v>
      </c>
      <c r="F2" s="217"/>
      <c r="G2" s="216">
        <v>2</v>
      </c>
      <c r="H2" s="217"/>
      <c r="I2" s="216">
        <v>3</v>
      </c>
      <c r="J2" s="217"/>
      <c r="K2" s="216">
        <v>4</v>
      </c>
      <c r="L2" s="217"/>
      <c r="M2" s="221" t="s">
        <v>252</v>
      </c>
      <c r="N2" s="222"/>
      <c r="O2" s="223"/>
      <c r="P2" s="9"/>
      <c r="Q2" s="99">
        <v>2025</v>
      </c>
      <c r="R2" s="14">
        <v>3861.33</v>
      </c>
      <c r="S2" s="14">
        <v>3943.01</v>
      </c>
      <c r="T2" s="14">
        <v>4017.3</v>
      </c>
      <c r="U2" s="14">
        <v>4128.1899999999996</v>
      </c>
      <c r="V2" s="100">
        <v>4230.6899999999996</v>
      </c>
      <c r="W2" s="101">
        <v>4334.9399999999996</v>
      </c>
      <c r="X2" s="100">
        <v>4409.7299999999996</v>
      </c>
      <c r="Y2" s="100">
        <v>4518.8900000000003</v>
      </c>
      <c r="Z2" s="15">
        <v>4632.8900000000003</v>
      </c>
      <c r="AA2" s="15">
        <v>4708.2</v>
      </c>
      <c r="AB2" s="15"/>
      <c r="AC2" s="15"/>
      <c r="AD2" s="9"/>
      <c r="AE2" s="9"/>
      <c r="AF2" s="9"/>
    </row>
    <row r="3" spans="1:32" x14ac:dyDescent="0.25">
      <c r="A3" s="154" t="s">
        <v>261</v>
      </c>
      <c r="B3" s="155"/>
      <c r="C3" s="155"/>
      <c r="D3" s="156"/>
      <c r="E3" s="162">
        <v>42901</v>
      </c>
      <c r="F3" s="181"/>
      <c r="G3" s="150">
        <f>E3</f>
        <v>42901</v>
      </c>
      <c r="H3" s="150"/>
      <c r="I3" s="150">
        <f>E3</f>
        <v>42901</v>
      </c>
      <c r="J3" s="150"/>
      <c r="K3" s="150">
        <f>E3</f>
        <v>42901</v>
      </c>
      <c r="L3" s="150"/>
      <c r="M3" s="224"/>
      <c r="N3" s="225"/>
      <c r="O3" s="226"/>
      <c r="P3" s="9"/>
      <c r="Q3" s="99">
        <v>2024</v>
      </c>
      <c r="R3" s="16">
        <v>3035.59</v>
      </c>
      <c r="S3" s="16">
        <v>3149.03</v>
      </c>
      <c r="T3" s="16">
        <v>3252.79</v>
      </c>
      <c r="U3" s="16">
        <v>3369.98</v>
      </c>
      <c r="V3" s="16">
        <v>3435.96</v>
      </c>
      <c r="W3" s="16">
        <v>3483.25</v>
      </c>
      <c r="X3" s="16">
        <v>3550.88</v>
      </c>
      <c r="Y3" s="16">
        <v>3610.51</v>
      </c>
      <c r="Z3" s="16">
        <v>3659.84</v>
      </c>
      <c r="AA3" s="16">
        <v>3707.1</v>
      </c>
      <c r="AB3" s="16">
        <v>3731.43</v>
      </c>
      <c r="AC3" s="16">
        <v>3746.52</v>
      </c>
      <c r="AD3" s="9"/>
      <c r="AE3" s="9"/>
      <c r="AF3" s="9"/>
    </row>
    <row r="4" spans="1:32" x14ac:dyDescent="0.25">
      <c r="A4" s="157" t="s">
        <v>87</v>
      </c>
      <c r="B4" s="158"/>
      <c r="C4" s="158"/>
      <c r="D4" s="159"/>
      <c r="E4" s="182" t="s">
        <v>73</v>
      </c>
      <c r="F4" s="182"/>
      <c r="G4" s="182" t="s">
        <v>69</v>
      </c>
      <c r="H4" s="182"/>
      <c r="I4" s="182" t="s">
        <v>74</v>
      </c>
      <c r="J4" s="182"/>
      <c r="K4" s="182" t="s">
        <v>75</v>
      </c>
      <c r="L4" s="182"/>
      <c r="M4" s="224"/>
      <c r="N4" s="225"/>
      <c r="O4" s="226"/>
      <c r="P4" s="9"/>
      <c r="Q4" s="99">
        <v>2023</v>
      </c>
      <c r="R4" s="16">
        <v>2105.17</v>
      </c>
      <c r="S4" s="16">
        <v>2138.04</v>
      </c>
      <c r="T4" s="16">
        <v>2147.44</v>
      </c>
      <c r="U4" s="16">
        <v>2164.94</v>
      </c>
      <c r="V4" s="16">
        <v>2179.02</v>
      </c>
      <c r="W4" s="16">
        <v>2320.7199999999998</v>
      </c>
      <c r="X4" s="16">
        <v>2511.75</v>
      </c>
      <c r="Y4" s="16">
        <v>2659.6</v>
      </c>
      <c r="Z4" s="16">
        <v>2749.98</v>
      </c>
      <c r="AA4" s="16">
        <v>2803.29</v>
      </c>
      <c r="AB4" s="16">
        <v>2882.04</v>
      </c>
      <c r="AC4" s="16">
        <v>2915.02</v>
      </c>
      <c r="AD4" s="9"/>
      <c r="AE4" s="9"/>
      <c r="AF4" s="9"/>
    </row>
    <row r="5" spans="1:32" ht="17.25" customHeight="1" x14ac:dyDescent="0.25">
      <c r="A5" s="157" t="s">
        <v>90</v>
      </c>
      <c r="B5" s="158"/>
      <c r="C5" s="158"/>
      <c r="D5" s="159"/>
      <c r="E5" s="185">
        <v>1830</v>
      </c>
      <c r="F5" s="185"/>
      <c r="G5" s="185"/>
      <c r="H5" s="185"/>
      <c r="I5" s="185"/>
      <c r="J5" s="185"/>
      <c r="K5" s="185"/>
      <c r="L5" s="185"/>
      <c r="M5" s="224"/>
      <c r="N5" s="225"/>
      <c r="O5" s="226"/>
      <c r="P5" s="9"/>
      <c r="Q5" s="99">
        <v>2022</v>
      </c>
      <c r="R5" s="16">
        <v>1129.03</v>
      </c>
      <c r="S5" s="16">
        <v>1210.5999999999999</v>
      </c>
      <c r="T5" s="16">
        <v>1321.9</v>
      </c>
      <c r="U5" s="16">
        <v>1423.27</v>
      </c>
      <c r="V5" s="16">
        <v>1548.01</v>
      </c>
      <c r="W5" s="16">
        <v>1652.75</v>
      </c>
      <c r="X5" s="16">
        <v>1738.21</v>
      </c>
      <c r="Y5" s="16">
        <v>1780.05</v>
      </c>
      <c r="Z5" s="16">
        <v>1865.09</v>
      </c>
      <c r="AA5" s="16">
        <v>2011.13</v>
      </c>
      <c r="AB5" s="16">
        <v>2026.08</v>
      </c>
      <c r="AC5" s="16">
        <v>2021.19</v>
      </c>
      <c r="AD5" s="9"/>
      <c r="AE5" s="9"/>
      <c r="AF5" s="9"/>
    </row>
    <row r="6" spans="1:32" x14ac:dyDescent="0.25">
      <c r="A6" s="157" t="s">
        <v>89</v>
      </c>
      <c r="B6" s="158"/>
      <c r="C6" s="158"/>
      <c r="D6" s="159"/>
      <c r="E6" s="183">
        <v>1</v>
      </c>
      <c r="F6" s="184"/>
      <c r="G6" s="183">
        <v>1</v>
      </c>
      <c r="H6" s="184"/>
      <c r="I6" s="183">
        <v>1</v>
      </c>
      <c r="J6" s="184"/>
      <c r="K6" s="183">
        <v>1</v>
      </c>
      <c r="L6" s="184"/>
      <c r="M6" s="224"/>
      <c r="N6" s="225"/>
      <c r="O6" s="226"/>
      <c r="P6" s="9"/>
      <c r="Q6" s="99">
        <v>2021</v>
      </c>
      <c r="R6" s="16">
        <v>583.38</v>
      </c>
      <c r="S6" s="16">
        <v>590.52</v>
      </c>
      <c r="T6" s="16">
        <v>614.92999999999995</v>
      </c>
      <c r="U6" s="16">
        <v>641.63</v>
      </c>
      <c r="V6" s="16">
        <v>666.79</v>
      </c>
      <c r="W6" s="16">
        <v>693.54</v>
      </c>
      <c r="X6" s="16">
        <v>710.61</v>
      </c>
      <c r="Y6" s="16">
        <v>730.28</v>
      </c>
      <c r="Z6" s="16">
        <v>741.58</v>
      </c>
      <c r="AA6" s="16">
        <v>780.45</v>
      </c>
      <c r="AB6" s="16">
        <v>858.43</v>
      </c>
      <c r="AC6" s="16">
        <v>1022.25</v>
      </c>
      <c r="AD6" s="9"/>
      <c r="AE6" s="9"/>
      <c r="AF6" s="9"/>
    </row>
    <row r="7" spans="1:32" x14ac:dyDescent="0.25">
      <c r="A7" s="157" t="s">
        <v>262</v>
      </c>
      <c r="B7" s="158"/>
      <c r="C7" s="158"/>
      <c r="D7" s="159"/>
      <c r="E7" s="227">
        <f>SUM(E8:L8)/0.85</f>
        <v>1533540</v>
      </c>
      <c r="F7" s="228"/>
      <c r="G7" s="229"/>
      <c r="H7" s="229"/>
      <c r="I7" s="229"/>
      <c r="J7" s="229"/>
      <c r="K7" s="229"/>
      <c r="L7" s="228"/>
      <c r="M7" s="224"/>
      <c r="N7" s="225"/>
      <c r="O7" s="226"/>
      <c r="P7" s="9"/>
      <c r="Q7" s="99">
        <v>2020</v>
      </c>
      <c r="R7" s="16">
        <v>462.42</v>
      </c>
      <c r="S7" s="16">
        <v>464.64</v>
      </c>
      <c r="T7" s="16">
        <v>468.69</v>
      </c>
      <c r="U7" s="16">
        <v>474.69</v>
      </c>
      <c r="V7" s="16">
        <v>482.02</v>
      </c>
      <c r="W7" s="16">
        <v>485.37</v>
      </c>
      <c r="X7" s="16">
        <v>490.33</v>
      </c>
      <c r="Y7" s="16">
        <v>501.85</v>
      </c>
      <c r="Z7" s="16">
        <v>515.13</v>
      </c>
      <c r="AA7" s="16">
        <v>533.44000000000005</v>
      </c>
      <c r="AB7" s="16">
        <v>555.17999999999995</v>
      </c>
      <c r="AC7" s="16">
        <v>568.27</v>
      </c>
      <c r="AD7" s="9"/>
      <c r="AE7" s="9"/>
      <c r="AF7" s="9"/>
    </row>
    <row r="8" spans="1:32" x14ac:dyDescent="0.25">
      <c r="A8" s="157" t="s">
        <v>95</v>
      </c>
      <c r="B8" s="158"/>
      <c r="C8" s="158"/>
      <c r="D8" s="159"/>
      <c r="E8" s="151">
        <f>E5*0.85*E6*HLOOKUP(E4,$C$38:$P$59,MATCH(E3,$B$38:$B$59,1),FALSE)</f>
        <v>1303509</v>
      </c>
      <c r="F8" s="151"/>
      <c r="G8" s="151">
        <f>G5*0.85*G6*HLOOKUP(G4,$C$38:$P$59,MATCH(G3,$B$38:$B$59,1),FALSE)</f>
        <v>0</v>
      </c>
      <c r="H8" s="151"/>
      <c r="I8" s="151">
        <f>I5*0.85*I6*HLOOKUP(I4,$C$38:$P$59,MATCH(I3,$B$38:$B$59,1),FALSE)</f>
        <v>0</v>
      </c>
      <c r="J8" s="151"/>
      <c r="K8" s="152">
        <f>K5*0.85*K6*HLOOKUP(K4,$C$38:$P$59,MATCH(K3,$B$38:$B$59,1),FALSE)</f>
        <v>0</v>
      </c>
      <c r="L8" s="153"/>
      <c r="M8" s="224"/>
      <c r="N8" s="225"/>
      <c r="O8" s="226"/>
      <c r="P8" s="9"/>
      <c r="Q8" s="99">
        <v>2019</v>
      </c>
      <c r="R8" s="16">
        <v>424.86</v>
      </c>
      <c r="S8" s="16">
        <v>425.26</v>
      </c>
      <c r="T8" s="16">
        <v>431.98</v>
      </c>
      <c r="U8" s="16">
        <v>444.85</v>
      </c>
      <c r="V8" s="16">
        <v>456.74</v>
      </c>
      <c r="W8" s="16">
        <v>457.16</v>
      </c>
      <c r="X8" s="16">
        <v>452.63</v>
      </c>
      <c r="Y8" s="16">
        <v>449.96</v>
      </c>
      <c r="Z8" s="16">
        <v>450.55</v>
      </c>
      <c r="AA8" s="16">
        <v>451.31</v>
      </c>
      <c r="AB8" s="16">
        <v>450.97</v>
      </c>
      <c r="AC8" s="16">
        <v>454.08</v>
      </c>
      <c r="AD8" s="9"/>
      <c r="AE8" s="9"/>
      <c r="AF8" s="9"/>
    </row>
    <row r="9" spans="1:32" x14ac:dyDescent="0.25">
      <c r="A9" s="157" t="s">
        <v>263</v>
      </c>
      <c r="B9" s="158"/>
      <c r="C9" s="158"/>
      <c r="D9" s="159"/>
      <c r="E9" s="187">
        <f>SUM(E8:L8)</f>
        <v>1303509</v>
      </c>
      <c r="F9" s="188"/>
      <c r="G9" s="186" t="s">
        <v>92</v>
      </c>
      <c r="H9" s="186"/>
      <c r="I9" s="186"/>
      <c r="J9" s="186"/>
      <c r="K9" s="186"/>
      <c r="L9" s="186"/>
      <c r="M9" s="224"/>
      <c r="N9" s="225"/>
      <c r="O9" s="226"/>
      <c r="P9" s="9"/>
      <c r="Q9" s="99">
        <v>2018</v>
      </c>
      <c r="R9" s="16">
        <v>319.60000000000002</v>
      </c>
      <c r="S9" s="16">
        <v>328.17</v>
      </c>
      <c r="T9" s="16">
        <v>333.21</v>
      </c>
      <c r="U9" s="16">
        <v>341.88</v>
      </c>
      <c r="V9" s="16">
        <v>354.85</v>
      </c>
      <c r="W9" s="16">
        <v>365.6</v>
      </c>
      <c r="X9" s="16">
        <v>372.06</v>
      </c>
      <c r="Y9" s="16">
        <v>396.62</v>
      </c>
      <c r="Z9" s="16">
        <v>439.78</v>
      </c>
      <c r="AA9" s="16">
        <v>443.78</v>
      </c>
      <c r="AB9" s="16">
        <v>432.55</v>
      </c>
      <c r="AC9" s="16">
        <v>422.94</v>
      </c>
      <c r="AD9" s="9"/>
      <c r="AE9" s="9"/>
      <c r="AF9" s="9"/>
    </row>
    <row r="10" spans="1:32" ht="20.25" customHeight="1" x14ac:dyDescent="0.25">
      <c r="A10" s="175" t="s">
        <v>93</v>
      </c>
      <c r="B10" s="176"/>
      <c r="C10" s="176"/>
      <c r="D10" s="176"/>
      <c r="E10" s="176"/>
      <c r="F10" s="176"/>
      <c r="G10" s="176"/>
      <c r="H10" s="176"/>
      <c r="I10" s="176"/>
      <c r="J10" s="176"/>
      <c r="K10" s="176"/>
      <c r="L10" s="176"/>
      <c r="M10" s="176"/>
      <c r="N10" s="176"/>
      <c r="O10" s="177"/>
      <c r="P10" s="9"/>
      <c r="Q10" s="99">
        <v>2017</v>
      </c>
      <c r="R10" s="16">
        <v>284.99</v>
      </c>
      <c r="S10" s="16">
        <v>288.58999999999997</v>
      </c>
      <c r="T10" s="16">
        <v>291.58</v>
      </c>
      <c r="U10" s="16">
        <v>293.79000000000002</v>
      </c>
      <c r="V10" s="16">
        <v>295.31</v>
      </c>
      <c r="W10" s="16">
        <v>295.52</v>
      </c>
      <c r="X10" s="16">
        <v>297.64999999999998</v>
      </c>
      <c r="Y10" s="16">
        <v>300.18</v>
      </c>
      <c r="Z10" s="16">
        <v>300.89999999999998</v>
      </c>
      <c r="AA10" s="16">
        <v>306.04000000000002</v>
      </c>
      <c r="AB10" s="16">
        <v>312.20999999999998</v>
      </c>
      <c r="AC10" s="16">
        <v>316.48</v>
      </c>
      <c r="AD10" s="9"/>
      <c r="AE10" s="9"/>
      <c r="AF10" s="9"/>
    </row>
    <row r="11" spans="1:32" ht="29.25" customHeight="1" x14ac:dyDescent="0.25">
      <c r="A11" s="196" t="s">
        <v>259</v>
      </c>
      <c r="B11" s="197"/>
      <c r="C11" s="230" t="s">
        <v>232</v>
      </c>
      <c r="D11" s="230"/>
      <c r="E11" s="230"/>
      <c r="F11" s="230"/>
      <c r="G11" s="230"/>
      <c r="H11" s="230"/>
      <c r="I11" s="230"/>
      <c r="J11" s="230"/>
      <c r="K11" s="230"/>
      <c r="L11" s="230"/>
      <c r="M11" s="230"/>
      <c r="N11" s="230"/>
      <c r="O11" s="96" t="str">
        <f>VLOOKUP(C11,B76:C217,2,0)</f>
        <v>3B</v>
      </c>
      <c r="P11" s="9"/>
      <c r="Q11" s="99">
        <v>2016</v>
      </c>
      <c r="R11" s="16">
        <v>250.67</v>
      </c>
      <c r="S11" s="16">
        <v>250.16</v>
      </c>
      <c r="T11" s="16">
        <v>251.17</v>
      </c>
      <c r="U11" s="16">
        <v>252.47</v>
      </c>
      <c r="V11" s="16">
        <v>256.20999999999998</v>
      </c>
      <c r="W11" s="16">
        <v>257.27</v>
      </c>
      <c r="X11" s="16">
        <v>257.81</v>
      </c>
      <c r="Y11" s="16">
        <v>258.01</v>
      </c>
      <c r="Z11" s="16">
        <v>258.77</v>
      </c>
      <c r="AA11" s="16">
        <v>260.94</v>
      </c>
      <c r="AB11" s="16">
        <v>266.16000000000003</v>
      </c>
      <c r="AC11" s="16">
        <v>274.08999999999997</v>
      </c>
      <c r="AD11" s="9"/>
      <c r="AE11" s="9"/>
      <c r="AF11" s="9"/>
    </row>
    <row r="12" spans="1:32" ht="21.75" customHeight="1" thickBot="1" x14ac:dyDescent="0.3">
      <c r="A12" s="139" t="s">
        <v>247</v>
      </c>
      <c r="B12" s="140"/>
      <c r="C12" s="141">
        <f>E9*Z28</f>
        <v>25479090</v>
      </c>
      <c r="D12" s="141"/>
      <c r="E12" s="141"/>
      <c r="F12" s="141"/>
      <c r="G12" s="231"/>
      <c r="H12" s="231"/>
      <c r="I12" s="231"/>
      <c r="J12" s="231"/>
      <c r="K12" s="231"/>
      <c r="L12" s="231"/>
      <c r="M12" s="231"/>
      <c r="N12" s="231"/>
      <c r="O12" s="232"/>
      <c r="P12" s="9"/>
      <c r="Q12" s="99">
        <v>2015</v>
      </c>
      <c r="R12" s="16">
        <v>236.61</v>
      </c>
      <c r="S12" s="16">
        <v>239.46</v>
      </c>
      <c r="T12" s="16">
        <v>241.97</v>
      </c>
      <c r="U12" s="16">
        <v>245.42</v>
      </c>
      <c r="V12" s="16">
        <v>248.15</v>
      </c>
      <c r="W12" s="16">
        <v>248.78</v>
      </c>
      <c r="X12" s="16">
        <v>247.99</v>
      </c>
      <c r="Y12" s="16">
        <v>250.43</v>
      </c>
      <c r="Z12" s="16">
        <v>254.25</v>
      </c>
      <c r="AA12" s="16">
        <v>253.74</v>
      </c>
      <c r="AB12" s="16">
        <v>250.13</v>
      </c>
      <c r="AC12" s="16">
        <v>249.31</v>
      </c>
      <c r="AD12" s="9"/>
      <c r="AE12" s="9"/>
      <c r="AF12" s="9"/>
    </row>
    <row r="13" spans="1:32" ht="17.25" customHeight="1" x14ac:dyDescent="0.25">
      <c r="A13" s="172" t="s">
        <v>116</v>
      </c>
      <c r="B13" s="173"/>
      <c r="C13" s="173"/>
      <c r="D13" s="173"/>
      <c r="E13" s="173"/>
      <c r="F13" s="173"/>
      <c r="G13" s="173"/>
      <c r="H13" s="173"/>
      <c r="I13" s="173"/>
      <c r="J13" s="173"/>
      <c r="K13" s="173"/>
      <c r="L13" s="173"/>
      <c r="M13" s="173"/>
      <c r="N13" s="173"/>
      <c r="O13" s="174"/>
      <c r="P13" s="9"/>
      <c r="Q13" s="99">
        <v>2014</v>
      </c>
      <c r="R13" s="16">
        <v>229.1</v>
      </c>
      <c r="S13" s="16">
        <v>232.27</v>
      </c>
      <c r="T13" s="16">
        <v>233.98</v>
      </c>
      <c r="U13" s="16">
        <v>234.18</v>
      </c>
      <c r="V13" s="16">
        <v>232.96</v>
      </c>
      <c r="W13" s="16">
        <v>233.09</v>
      </c>
      <c r="X13" s="16">
        <v>234.79</v>
      </c>
      <c r="Y13" s="16">
        <v>235.78</v>
      </c>
      <c r="Z13" s="16">
        <v>237.79</v>
      </c>
      <c r="AA13" s="16">
        <v>239.97</v>
      </c>
      <c r="AB13" s="16">
        <v>237.65</v>
      </c>
      <c r="AC13" s="16">
        <v>235.84</v>
      </c>
      <c r="AD13" s="9"/>
      <c r="AE13" s="9"/>
      <c r="AF13" s="9"/>
    </row>
    <row r="14" spans="1:32" x14ac:dyDescent="0.25">
      <c r="A14" s="160" t="s">
        <v>260</v>
      </c>
      <c r="B14" s="161"/>
      <c r="C14" s="161"/>
      <c r="D14" s="164">
        <v>44269</v>
      </c>
      <c r="E14" s="165"/>
      <c r="F14" s="165"/>
      <c r="G14" s="166"/>
      <c r="H14" s="167"/>
      <c r="I14" s="167"/>
      <c r="J14" s="167"/>
      <c r="K14" s="167"/>
      <c r="L14" s="167"/>
      <c r="M14" s="167"/>
      <c r="N14" s="167"/>
      <c r="O14" s="168"/>
      <c r="P14" s="9"/>
      <c r="Q14" s="99">
        <v>2013</v>
      </c>
      <c r="R14" s="16">
        <v>206.91</v>
      </c>
      <c r="S14" s="16">
        <v>206.65</v>
      </c>
      <c r="T14" s="16">
        <v>208.33</v>
      </c>
      <c r="U14" s="16">
        <v>207.27</v>
      </c>
      <c r="V14" s="16">
        <v>209.34</v>
      </c>
      <c r="W14" s="16">
        <v>212.39</v>
      </c>
      <c r="X14" s="16">
        <v>214.5</v>
      </c>
      <c r="Y14" s="16">
        <v>214.59</v>
      </c>
      <c r="Z14" s="16">
        <v>216.48</v>
      </c>
      <c r="AA14" s="16">
        <v>217.97</v>
      </c>
      <c r="AB14" s="16">
        <v>219.31</v>
      </c>
      <c r="AC14" s="16">
        <v>221.74</v>
      </c>
      <c r="AD14" s="9"/>
      <c r="AE14" s="9"/>
      <c r="AF14" s="9"/>
    </row>
    <row r="15" spans="1:32" ht="14.25" customHeight="1" x14ac:dyDescent="0.25">
      <c r="A15" s="157" t="s">
        <v>95</v>
      </c>
      <c r="B15" s="158"/>
      <c r="C15" s="159"/>
      <c r="D15" s="136"/>
      <c r="E15" s="137"/>
      <c r="F15" s="138"/>
      <c r="G15" s="169"/>
      <c r="H15" s="170"/>
      <c r="I15" s="170"/>
      <c r="J15" s="170"/>
      <c r="K15" s="170"/>
      <c r="L15" s="170"/>
      <c r="M15" s="170"/>
      <c r="N15" s="170"/>
      <c r="O15" s="171"/>
      <c r="P15" s="9"/>
      <c r="Q15" s="99">
        <v>2012</v>
      </c>
      <c r="R15" s="16">
        <v>203.1</v>
      </c>
      <c r="S15" s="16">
        <v>202.91</v>
      </c>
      <c r="T15" s="16">
        <v>203.64</v>
      </c>
      <c r="U15" s="16">
        <v>203.81</v>
      </c>
      <c r="V15" s="16">
        <v>204.89</v>
      </c>
      <c r="W15" s="16">
        <v>201.83</v>
      </c>
      <c r="X15" s="16">
        <v>201.2</v>
      </c>
      <c r="Y15" s="16">
        <v>201.71</v>
      </c>
      <c r="Z15" s="16">
        <v>203.79</v>
      </c>
      <c r="AA15" s="16">
        <v>204.15</v>
      </c>
      <c r="AB15" s="16">
        <v>207.54</v>
      </c>
      <c r="AC15" s="16">
        <v>207.29</v>
      </c>
      <c r="AD15" s="9"/>
      <c r="AE15" s="9"/>
      <c r="AF15" s="9"/>
    </row>
    <row r="16" spans="1:32" ht="18" customHeight="1" x14ac:dyDescent="0.25">
      <c r="A16" s="157" t="s">
        <v>89</v>
      </c>
      <c r="B16" s="158"/>
      <c r="C16" s="159"/>
      <c r="D16" s="183">
        <v>1</v>
      </c>
      <c r="E16" s="258"/>
      <c r="F16" s="184"/>
      <c r="G16" s="169"/>
      <c r="H16" s="170"/>
      <c r="I16" s="170"/>
      <c r="J16" s="170"/>
      <c r="K16" s="170"/>
      <c r="L16" s="170"/>
      <c r="M16" s="170"/>
      <c r="N16" s="170"/>
      <c r="O16" s="171"/>
      <c r="P16" s="9"/>
      <c r="Q16" s="99">
        <v>2011</v>
      </c>
      <c r="R16" s="16">
        <v>182.75</v>
      </c>
      <c r="S16" s="16">
        <v>185.9</v>
      </c>
      <c r="T16" s="16">
        <v>188.17</v>
      </c>
      <c r="U16" s="16">
        <v>189.32</v>
      </c>
      <c r="V16" s="16">
        <v>189.61</v>
      </c>
      <c r="W16" s="16">
        <v>189.62</v>
      </c>
      <c r="X16" s="16">
        <v>189.57</v>
      </c>
      <c r="Y16" s="16">
        <v>192.91</v>
      </c>
      <c r="Z16" s="16">
        <v>195.89</v>
      </c>
      <c r="AA16" s="16">
        <v>199.03</v>
      </c>
      <c r="AB16" s="16">
        <v>200.32</v>
      </c>
      <c r="AC16" s="16">
        <v>202.33</v>
      </c>
      <c r="AD16" s="9"/>
      <c r="AE16" s="9"/>
      <c r="AF16" s="9"/>
    </row>
    <row r="17" spans="1:32" ht="23.25" customHeight="1" thickBot="1" x14ac:dyDescent="0.3">
      <c r="A17" s="139" t="s">
        <v>247</v>
      </c>
      <c r="B17" s="140"/>
      <c r="C17" s="140"/>
      <c r="D17" s="141">
        <f>D15*D16*S21/T33</f>
        <v>0</v>
      </c>
      <c r="E17" s="141"/>
      <c r="F17" s="141"/>
      <c r="G17" s="233"/>
      <c r="H17" s="234"/>
      <c r="I17" s="234"/>
      <c r="J17" s="234"/>
      <c r="K17" s="234"/>
      <c r="L17" s="234"/>
      <c r="M17" s="234"/>
      <c r="N17" s="234"/>
      <c r="O17" s="235"/>
      <c r="P17" s="9"/>
      <c r="Q17" s="99">
        <v>2010</v>
      </c>
      <c r="R17" s="16">
        <v>164.94</v>
      </c>
      <c r="S17" s="16">
        <v>167.68</v>
      </c>
      <c r="T17" s="16">
        <v>170.94</v>
      </c>
      <c r="U17" s="16">
        <v>174.96</v>
      </c>
      <c r="V17" s="16">
        <v>172.95</v>
      </c>
      <c r="W17" s="16">
        <v>172.08</v>
      </c>
      <c r="X17" s="16">
        <v>171.81</v>
      </c>
      <c r="Y17" s="16">
        <v>173.79</v>
      </c>
      <c r="Z17" s="16">
        <v>174.67</v>
      </c>
      <c r="AA17" s="16">
        <v>176.78</v>
      </c>
      <c r="AB17" s="16">
        <v>176.23</v>
      </c>
      <c r="AC17" s="16">
        <v>178.54</v>
      </c>
      <c r="AD17" s="9"/>
      <c r="AE17" s="9"/>
      <c r="AF17" s="9"/>
    </row>
    <row r="18" spans="1:32" ht="16.5" customHeight="1" x14ac:dyDescent="0.25">
      <c r="A18" s="172" t="s">
        <v>250</v>
      </c>
      <c r="B18" s="173"/>
      <c r="C18" s="173"/>
      <c r="D18" s="173"/>
      <c r="E18" s="173"/>
      <c r="F18" s="173"/>
      <c r="G18" s="173"/>
      <c r="H18" s="173"/>
      <c r="I18" s="173"/>
      <c r="J18" s="173"/>
      <c r="K18" s="173"/>
      <c r="L18" s="173"/>
      <c r="M18" s="173"/>
      <c r="N18" s="173"/>
      <c r="O18" s="174"/>
      <c r="P18" s="9"/>
      <c r="Q18" s="99">
        <v>2009</v>
      </c>
      <c r="R18" s="16">
        <v>155.16</v>
      </c>
      <c r="S18" s="16">
        <v>156.97</v>
      </c>
      <c r="T18" s="16">
        <v>157.43</v>
      </c>
      <c r="U18" s="16">
        <v>158.44999999999999</v>
      </c>
      <c r="V18" s="16">
        <v>158.37</v>
      </c>
      <c r="W18" s="16">
        <v>159.86000000000001</v>
      </c>
      <c r="X18" s="16">
        <v>158.74</v>
      </c>
      <c r="Y18" s="16">
        <v>159.4</v>
      </c>
      <c r="Z18" s="16">
        <v>160.38</v>
      </c>
      <c r="AA18" s="16">
        <v>160.84</v>
      </c>
      <c r="AB18" s="16">
        <v>162.91999999999999</v>
      </c>
      <c r="AC18" s="16">
        <v>163.98</v>
      </c>
      <c r="AD18" s="9"/>
      <c r="AE18" s="9"/>
      <c r="AF18" s="9"/>
    </row>
    <row r="19" spans="1:32" ht="16.5" customHeight="1" x14ac:dyDescent="0.25">
      <c r="A19" s="160" t="s">
        <v>253</v>
      </c>
      <c r="B19" s="161"/>
      <c r="C19" s="161"/>
      <c r="D19" s="164">
        <v>44393</v>
      </c>
      <c r="E19" s="165"/>
      <c r="F19" s="259"/>
      <c r="G19" s="268"/>
      <c r="H19" s="269"/>
      <c r="I19" s="269"/>
      <c r="J19" s="269"/>
      <c r="K19" s="269"/>
      <c r="L19" s="269"/>
      <c r="M19" s="269"/>
      <c r="N19" s="269"/>
      <c r="O19" s="270"/>
      <c r="P19" s="9"/>
      <c r="Q19" s="99">
        <v>2008</v>
      </c>
      <c r="R19" s="16">
        <v>143.80000000000001</v>
      </c>
      <c r="S19" s="16">
        <v>147.47999999999999</v>
      </c>
      <c r="T19" s="16">
        <v>152.16</v>
      </c>
      <c r="U19" s="16">
        <v>159</v>
      </c>
      <c r="V19" s="16">
        <v>162.37</v>
      </c>
      <c r="W19" s="16">
        <v>162.9</v>
      </c>
      <c r="X19" s="16">
        <v>164.93</v>
      </c>
      <c r="Y19" s="16">
        <v>161.07</v>
      </c>
      <c r="Z19" s="16">
        <v>159.63</v>
      </c>
      <c r="AA19" s="16">
        <v>160.54</v>
      </c>
      <c r="AB19" s="16">
        <v>160.49</v>
      </c>
      <c r="AC19" s="16">
        <v>154.80000000000001</v>
      </c>
      <c r="AD19" s="9"/>
      <c r="AE19" s="9"/>
      <c r="AF19" s="9"/>
    </row>
    <row r="20" spans="1:32" ht="16.5" customHeight="1" x14ac:dyDescent="0.25">
      <c r="A20" s="157" t="s">
        <v>264</v>
      </c>
      <c r="B20" s="158"/>
      <c r="C20" s="159"/>
      <c r="D20" s="260" t="s">
        <v>9</v>
      </c>
      <c r="E20" s="261"/>
      <c r="F20" s="262"/>
      <c r="G20" s="271"/>
      <c r="H20" s="272"/>
      <c r="I20" s="272"/>
      <c r="J20" s="272"/>
      <c r="K20" s="272"/>
      <c r="L20" s="272"/>
      <c r="M20" s="272"/>
      <c r="N20" s="272"/>
      <c r="O20" s="273"/>
      <c r="P20" s="17">
        <f>DATE(YEAR(P21),MONTH(P21)-1,DAY(P21))</f>
        <v>44241</v>
      </c>
      <c r="Q20" s="9">
        <f>YEAR(P20)</f>
        <v>2021</v>
      </c>
      <c r="R20" s="9">
        <f>MONTH(P20)</f>
        <v>2</v>
      </c>
      <c r="S20" s="9" t="s">
        <v>251</v>
      </c>
      <c r="T20" s="9"/>
      <c r="U20" s="9"/>
      <c r="V20" s="9"/>
      <c r="W20" s="9"/>
      <c r="X20" s="9"/>
      <c r="Y20" s="9"/>
      <c r="Z20" s="9"/>
      <c r="AA20" s="9"/>
      <c r="AB20" s="9"/>
      <c r="AC20" s="9"/>
      <c r="AD20" s="9"/>
      <c r="AE20" s="9"/>
      <c r="AF20" s="9"/>
    </row>
    <row r="21" spans="1:32" ht="16.5" customHeight="1" x14ac:dyDescent="0.25">
      <c r="A21" s="157" t="s">
        <v>95</v>
      </c>
      <c r="B21" s="158"/>
      <c r="C21" s="159"/>
      <c r="D21" s="136"/>
      <c r="E21" s="137"/>
      <c r="F21" s="138"/>
      <c r="G21" s="239" t="s">
        <v>265</v>
      </c>
      <c r="H21" s="158"/>
      <c r="I21" s="158"/>
      <c r="J21" s="158"/>
      <c r="K21" s="158"/>
      <c r="L21" s="158"/>
      <c r="M21" s="159"/>
      <c r="N21" s="178">
        <f>HLOOKUP(D20,R36:AF48,MATCH(D22,R36:R48,1),FALSE)</f>
        <v>9317700</v>
      </c>
      <c r="O21" s="180"/>
      <c r="P21" s="17">
        <f>D14</f>
        <v>44269</v>
      </c>
      <c r="Q21" s="17"/>
      <c r="R21" s="18"/>
      <c r="S21" s="18">
        <f>AA2</f>
        <v>4708.2</v>
      </c>
      <c r="T21" s="9"/>
      <c r="U21" s="9"/>
      <c r="V21" s="9"/>
      <c r="W21" s="9"/>
      <c r="X21" s="9"/>
      <c r="Y21" s="9"/>
      <c r="Z21" s="9"/>
      <c r="AA21" s="9"/>
      <c r="AB21" s="134" t="s">
        <v>266</v>
      </c>
      <c r="AC21" s="134"/>
      <c r="AD21" s="102" t="s">
        <v>267</v>
      </c>
      <c r="AE21" s="16" t="s">
        <v>268</v>
      </c>
      <c r="AF21" s="9"/>
    </row>
    <row r="22" spans="1:32" ht="16.5" customHeight="1" x14ac:dyDescent="0.25">
      <c r="A22" s="160" t="s">
        <v>257</v>
      </c>
      <c r="B22" s="161"/>
      <c r="C22" s="161"/>
      <c r="D22" s="162">
        <v>44448</v>
      </c>
      <c r="E22" s="163"/>
      <c r="F22" s="163"/>
      <c r="G22" s="236" t="s">
        <v>255</v>
      </c>
      <c r="H22" s="237"/>
      <c r="I22" s="237"/>
      <c r="J22" s="237"/>
      <c r="K22" s="237"/>
      <c r="L22" s="238"/>
      <c r="M22" s="178">
        <f>D21*D23*0.2*S21/T34</f>
        <v>0</v>
      </c>
      <c r="N22" s="179"/>
      <c r="O22" s="180"/>
      <c r="P22" s="17">
        <f>E3</f>
        <v>42901</v>
      </c>
      <c r="Q22" s="9">
        <f>YEAR(P22)</f>
        <v>2017</v>
      </c>
      <c r="R22" s="9">
        <f>MONTH(P22)</f>
        <v>6</v>
      </c>
      <c r="S22" s="9"/>
      <c r="T22" s="220" t="s">
        <v>114</v>
      </c>
      <c r="U22" s="266" t="s">
        <v>112</v>
      </c>
      <c r="V22" s="266" t="s">
        <v>248</v>
      </c>
      <c r="W22" s="266" t="s">
        <v>113</v>
      </c>
      <c r="X22" s="198" t="s">
        <v>109</v>
      </c>
      <c r="Y22" s="198" t="s">
        <v>110</v>
      </c>
      <c r="Z22" s="135" t="s">
        <v>111</v>
      </c>
      <c r="AA22" s="9"/>
      <c r="AB22" s="102" t="s">
        <v>44</v>
      </c>
      <c r="AC22" s="103">
        <f t="shared" ref="AC22:AC34" si="0">C61*0.05</f>
        <v>102037500</v>
      </c>
      <c r="AD22" s="103">
        <f>C61*0.15</f>
        <v>306112500</v>
      </c>
      <c r="AE22" s="103">
        <f>AD22*0.8</f>
        <v>244890000</v>
      </c>
      <c r="AF22" s="9"/>
    </row>
    <row r="23" spans="1:32" ht="16.5" customHeight="1" x14ac:dyDescent="0.25">
      <c r="A23" s="157" t="s">
        <v>89</v>
      </c>
      <c r="B23" s="158"/>
      <c r="C23" s="159"/>
      <c r="D23" s="183">
        <v>1</v>
      </c>
      <c r="E23" s="258"/>
      <c r="F23" s="184"/>
      <c r="G23" s="236" t="s">
        <v>256</v>
      </c>
      <c r="H23" s="237"/>
      <c r="I23" s="237"/>
      <c r="J23" s="237"/>
      <c r="K23" s="237"/>
      <c r="L23" s="238"/>
      <c r="M23" s="178">
        <f>MIN(T30,T31)</f>
        <v>0</v>
      </c>
      <c r="N23" s="179"/>
      <c r="O23" s="180"/>
      <c r="P23" s="17">
        <f>DATE(YEAR(P22),MONTH(P22)-1,DAY(P22))</f>
        <v>42870</v>
      </c>
      <c r="Q23" s="9">
        <f>YEAR(P23)</f>
        <v>2017</v>
      </c>
      <c r="R23" s="9">
        <f>MONTH(P23)</f>
        <v>5</v>
      </c>
      <c r="S23" s="9"/>
      <c r="T23" s="205"/>
      <c r="U23" s="274"/>
      <c r="V23" s="266"/>
      <c r="W23" s="266"/>
      <c r="X23" s="198"/>
      <c r="Y23" s="198"/>
      <c r="Z23" s="135"/>
      <c r="AA23" s="9"/>
      <c r="AB23" s="102" t="s">
        <v>45</v>
      </c>
      <c r="AC23" s="103">
        <f t="shared" si="0"/>
        <v>71426250</v>
      </c>
      <c r="AD23" s="103">
        <f t="shared" ref="AD23:AD28" si="1">C62*0.15</f>
        <v>214278750</v>
      </c>
      <c r="AE23" s="103">
        <f t="shared" ref="AE23:AE30" si="2">AD23*0.8</f>
        <v>171423000</v>
      </c>
      <c r="AF23" s="9"/>
    </row>
    <row r="24" spans="1:32" ht="18.75" customHeight="1" thickBot="1" x14ac:dyDescent="0.3">
      <c r="A24" s="19" t="s">
        <v>94</v>
      </c>
      <c r="B24" s="20"/>
      <c r="C24" s="20"/>
      <c r="D24" s="263">
        <f>IF(D22&lt;G24,M22,M23)</f>
        <v>0</v>
      </c>
      <c r="E24" s="264"/>
      <c r="F24" s="265"/>
      <c r="G24" s="208">
        <v>43801</v>
      </c>
      <c r="H24" s="209"/>
      <c r="I24" s="209"/>
      <c r="J24" s="209"/>
      <c r="K24" s="209"/>
      <c r="L24" s="209"/>
      <c r="M24" s="209"/>
      <c r="N24" s="209"/>
      <c r="O24" s="210"/>
      <c r="P24" s="21">
        <f>D19</f>
        <v>44393</v>
      </c>
      <c r="Q24" s="9"/>
      <c r="R24" s="9"/>
      <c r="S24" s="22">
        <v>1</v>
      </c>
      <c r="T24" s="23">
        <f>E5</f>
        <v>1830</v>
      </c>
      <c r="U24" s="24">
        <f>HLOOKUP(E4,$C$38:$P$59,MATCH($P$23,$A$38:$A$59,1),FALSE)</f>
        <v>838</v>
      </c>
      <c r="V24" s="24">
        <f>HLOOKUP($O$11,$C$38:$P$59,MATCH($C$59,$C$38:$C$59,0),FALSE)</f>
        <v>18200</v>
      </c>
      <c r="W24" s="25">
        <f>V24/U24</f>
        <v>21.718377088305488</v>
      </c>
      <c r="X24" s="25">
        <f>W24*0.9</f>
        <v>19.54653937947494</v>
      </c>
      <c r="Y24" s="25">
        <f>W24*1.3</f>
        <v>28.233890214797135</v>
      </c>
      <c r="Z24" s="26">
        <f>IF($V$32&lt;X24,X24,IF($V$32&gt;Y24,Y24,$V$32))</f>
        <v>19.54653937947494</v>
      </c>
      <c r="AA24" s="9"/>
      <c r="AB24" s="102" t="s">
        <v>46</v>
      </c>
      <c r="AC24" s="103">
        <f t="shared" si="0"/>
        <v>61222500</v>
      </c>
      <c r="AD24" s="103">
        <f t="shared" si="1"/>
        <v>183667500</v>
      </c>
      <c r="AE24" s="103">
        <f t="shared" si="2"/>
        <v>146934000</v>
      </c>
      <c r="AF24" s="9"/>
    </row>
    <row r="25" spans="1:32" ht="21.75" customHeight="1" x14ac:dyDescent="0.25">
      <c r="A25" s="211" t="s">
        <v>258</v>
      </c>
      <c r="B25" s="212"/>
      <c r="C25" s="212"/>
      <c r="D25" s="212"/>
      <c r="E25" s="212"/>
      <c r="F25" s="212"/>
      <c r="G25" s="212"/>
      <c r="H25" s="212"/>
      <c r="I25" s="212"/>
      <c r="J25" s="212"/>
      <c r="K25" s="212"/>
      <c r="L25" s="212"/>
      <c r="M25" s="212"/>
      <c r="N25" s="212"/>
      <c r="O25" s="213"/>
      <c r="P25" s="21">
        <f>DATE(YEAR(P24),MONTH(P24)-1,DAY(P24))</f>
        <v>44363</v>
      </c>
      <c r="Q25" s="9">
        <f>YEAR(P25)</f>
        <v>2021</v>
      </c>
      <c r="R25" s="9">
        <f>MONTH(P25)</f>
        <v>6</v>
      </c>
      <c r="S25" s="22">
        <v>2</v>
      </c>
      <c r="T25" s="23">
        <f>G5</f>
        <v>0</v>
      </c>
      <c r="U25" s="24">
        <f>HLOOKUP(G4,$C$38:$P$59,MATCH($P$23,$A$38:$A$59,1),FALSE)</f>
        <v>320</v>
      </c>
      <c r="V25" s="24">
        <f>HLOOKUP(O11,$C$38:$P$59,MATCH($C$59,$C$38:$C$59,0),FALSE)</f>
        <v>18200</v>
      </c>
      <c r="W25" s="25">
        <f>V25/U25</f>
        <v>56.875</v>
      </c>
      <c r="X25" s="25">
        <f>W25*0.9</f>
        <v>51.1875</v>
      </c>
      <c r="Y25" s="25">
        <f>W25*1.3</f>
        <v>73.9375</v>
      </c>
      <c r="Z25" s="26">
        <f>IF($V$32&lt;X25,X25,IF($V$32&gt;Y25,Y25,$V$32))</f>
        <v>51.1875</v>
      </c>
      <c r="AA25" s="9"/>
      <c r="AB25" s="102" t="s">
        <v>49</v>
      </c>
      <c r="AC25" s="103">
        <f t="shared" si="0"/>
        <v>51018750</v>
      </c>
      <c r="AD25" s="103">
        <f t="shared" si="1"/>
        <v>153056250</v>
      </c>
      <c r="AE25" s="103">
        <f t="shared" si="2"/>
        <v>122445000</v>
      </c>
      <c r="AF25" s="9"/>
    </row>
    <row r="26" spans="1:32" ht="24.95" customHeight="1" x14ac:dyDescent="0.25">
      <c r="A26" s="250" t="s">
        <v>96</v>
      </c>
      <c r="B26" s="251"/>
      <c r="C26" s="162">
        <v>44907</v>
      </c>
      <c r="D26" s="181"/>
      <c r="E26" s="162">
        <v>45737</v>
      </c>
      <c r="F26" s="181"/>
      <c r="G26" s="150">
        <v>45482</v>
      </c>
      <c r="H26" s="150"/>
      <c r="I26" s="150"/>
      <c r="J26" s="162">
        <v>44197</v>
      </c>
      <c r="K26" s="181"/>
      <c r="L26" s="162">
        <v>44197</v>
      </c>
      <c r="M26" s="181"/>
      <c r="N26" s="162">
        <v>44197</v>
      </c>
      <c r="O26" s="267"/>
      <c r="P26" s="21"/>
      <c r="Q26" s="9"/>
      <c r="R26" s="9"/>
      <c r="S26" s="22">
        <v>3</v>
      </c>
      <c r="T26" s="23">
        <f>I5</f>
        <v>0</v>
      </c>
      <c r="U26" s="24">
        <f>HLOOKUP(I4,$C$38:$P$59,MATCH($P$23,$A$38:$A$59,1),FALSE)</f>
        <v>882</v>
      </c>
      <c r="V26" s="24">
        <f>HLOOKUP(O11,$C$38:$P$59,MATCH($C$59,$C$38:$C$59,0),FALSE)</f>
        <v>18200</v>
      </c>
      <c r="W26" s="25">
        <f>V26/U26</f>
        <v>20.634920634920636</v>
      </c>
      <c r="X26" s="25">
        <f>W26*0.9</f>
        <v>18.571428571428573</v>
      </c>
      <c r="Y26" s="25">
        <f>W26*1.3</f>
        <v>26.82539682539683</v>
      </c>
      <c r="Z26" s="26">
        <f>IF($V$32&lt;X26,X26,IF($V$32&gt;Y26,Y26,$V$32))</f>
        <v>18.571428571428573</v>
      </c>
      <c r="AA26" s="9"/>
      <c r="AB26" s="102" t="s">
        <v>50</v>
      </c>
      <c r="AC26" s="103">
        <f t="shared" si="0"/>
        <v>42515625</v>
      </c>
      <c r="AD26" s="103">
        <f t="shared" si="1"/>
        <v>127546875</v>
      </c>
      <c r="AE26" s="103">
        <f t="shared" si="2"/>
        <v>102037500</v>
      </c>
      <c r="AF26" s="9"/>
    </row>
    <row r="27" spans="1:32" ht="27.75" customHeight="1" x14ac:dyDescent="0.25">
      <c r="A27" s="196" t="s">
        <v>2</v>
      </c>
      <c r="B27" s="197"/>
      <c r="C27" s="214">
        <f ca="1">TODAY()</f>
        <v>45964</v>
      </c>
      <c r="D27" s="214"/>
      <c r="E27" s="214">
        <f t="shared" ref="E27:L27" ca="1" si="3">TODAY()</f>
        <v>45964</v>
      </c>
      <c r="F27" s="214"/>
      <c r="G27" s="214">
        <f t="shared" ca="1" si="3"/>
        <v>45964</v>
      </c>
      <c r="H27" s="214"/>
      <c r="I27" s="214"/>
      <c r="J27" s="214">
        <f ca="1">TODAY()</f>
        <v>45964</v>
      </c>
      <c r="K27" s="214"/>
      <c r="L27" s="252">
        <f t="shared" ca="1" si="3"/>
        <v>45964</v>
      </c>
      <c r="M27" s="253"/>
      <c r="N27" s="214">
        <f ca="1">TODAY()</f>
        <v>45964</v>
      </c>
      <c r="O27" s="215"/>
      <c r="P27" s="17"/>
      <c r="Q27" s="9"/>
      <c r="R27" s="9"/>
      <c r="S27" s="22">
        <v>4</v>
      </c>
      <c r="T27" s="23">
        <f>K5</f>
        <v>0</v>
      </c>
      <c r="U27" s="24">
        <f>HLOOKUP(K4,$C$38:$P$59,MATCH($P$23,$A$38:$A$59,1),FALSE)</f>
        <v>1021</v>
      </c>
      <c r="V27" s="24">
        <f>HLOOKUP(O11,$C$38:$P$59,MATCH($C$59,$C$38:$C$59,0),FALSE)</f>
        <v>18200</v>
      </c>
      <c r="W27" s="25">
        <f t="shared" ref="W27" si="4">V27/U27</f>
        <v>17.8256611165524</v>
      </c>
      <c r="X27" s="25">
        <f t="shared" ref="X27" si="5">W27*0.9</f>
        <v>16.043095004897161</v>
      </c>
      <c r="Y27" s="25">
        <f t="shared" ref="Y27" si="6">W27*1.3</f>
        <v>23.17335945151812</v>
      </c>
      <c r="Z27" s="26">
        <f>IF($V$32&lt;X27,X27,IF($V$32&gt;Y27,Y27,$V$32))</f>
        <v>16.043095004897161</v>
      </c>
      <c r="AA27" s="9"/>
      <c r="AB27" s="102" t="s">
        <v>51</v>
      </c>
      <c r="AC27" s="103">
        <f t="shared" si="0"/>
        <v>34012500</v>
      </c>
      <c r="AD27" s="103">
        <f t="shared" si="1"/>
        <v>102037500</v>
      </c>
      <c r="AE27" s="103">
        <f t="shared" si="2"/>
        <v>81630000</v>
      </c>
      <c r="AF27" s="9"/>
    </row>
    <row r="28" spans="1:32" ht="15" customHeight="1" x14ac:dyDescent="0.25">
      <c r="A28" s="196" t="s">
        <v>97</v>
      </c>
      <c r="B28" s="197"/>
      <c r="C28" s="204">
        <f ca="1">(C27-C26)/365</f>
        <v>2.8958904109589043</v>
      </c>
      <c r="D28" s="204"/>
      <c r="E28" s="204">
        <f t="shared" ref="E28:L28" ca="1" si="7">(E27-E26)/365</f>
        <v>0.62191780821917808</v>
      </c>
      <c r="F28" s="204"/>
      <c r="G28" s="204">
        <f ca="1">(G27-G26)/365</f>
        <v>1.3205479452054794</v>
      </c>
      <c r="H28" s="204"/>
      <c r="I28" s="204"/>
      <c r="J28" s="204">
        <f ca="1">(J27-J26)/365</f>
        <v>4.8410958904109593</v>
      </c>
      <c r="K28" s="204"/>
      <c r="L28" s="255">
        <f t="shared" ca="1" si="7"/>
        <v>4.8410958904109593</v>
      </c>
      <c r="M28" s="256"/>
      <c r="N28" s="204">
        <f ca="1">(N27-N26)/365</f>
        <v>4.8410958904109593</v>
      </c>
      <c r="O28" s="257"/>
      <c r="P28" s="9"/>
      <c r="Q28" s="9"/>
      <c r="R28" s="9"/>
      <c r="S28" s="22"/>
      <c r="T28" s="23"/>
      <c r="U28" s="24"/>
      <c r="V28" s="24"/>
      <c r="W28" s="205" t="s">
        <v>115</v>
      </c>
      <c r="X28" s="205"/>
      <c r="Y28" s="205"/>
      <c r="Z28" s="26">
        <f>VLOOKUP(MAX(T24:T27),T24:Z27,7,0)</f>
        <v>19.54653937947494</v>
      </c>
      <c r="AA28" s="9"/>
      <c r="AB28" s="102" t="s">
        <v>34</v>
      </c>
      <c r="AC28" s="103">
        <f t="shared" si="0"/>
        <v>25509375</v>
      </c>
      <c r="AD28" s="103">
        <f t="shared" si="1"/>
        <v>76528125</v>
      </c>
      <c r="AE28" s="103">
        <f t="shared" si="2"/>
        <v>61222500</v>
      </c>
      <c r="AF28" s="9"/>
    </row>
    <row r="29" spans="1:32" ht="16.5" customHeight="1" x14ac:dyDescent="0.25">
      <c r="A29" s="154" t="s">
        <v>91</v>
      </c>
      <c r="B29" s="156"/>
      <c r="C29" s="152">
        <f>$E$9</f>
        <v>1303509</v>
      </c>
      <c r="D29" s="153"/>
      <c r="E29" s="152"/>
      <c r="F29" s="153"/>
      <c r="G29" s="152"/>
      <c r="H29" s="206"/>
      <c r="I29" s="153"/>
      <c r="J29" s="152"/>
      <c r="K29" s="153"/>
      <c r="L29" s="152"/>
      <c r="M29" s="153"/>
      <c r="N29" s="152"/>
      <c r="O29" s="207"/>
      <c r="P29" s="9"/>
      <c r="Q29" s="9"/>
      <c r="R29" s="9"/>
      <c r="S29" s="22"/>
      <c r="T29" s="23"/>
      <c r="U29" s="24"/>
      <c r="V29" s="24"/>
      <c r="W29" s="98"/>
      <c r="X29" s="98"/>
      <c r="Y29" s="98"/>
      <c r="Z29" s="26"/>
      <c r="AA29" s="9"/>
      <c r="AB29" s="102" t="s">
        <v>1</v>
      </c>
      <c r="AC29" s="103">
        <f t="shared" si="0"/>
        <v>17006250</v>
      </c>
      <c r="AD29" s="103">
        <f>C68*0.1</f>
        <v>34012500</v>
      </c>
      <c r="AE29" s="103">
        <f t="shared" si="2"/>
        <v>27210000</v>
      </c>
      <c r="AF29" s="9"/>
    </row>
    <row r="30" spans="1:32" ht="27" customHeight="1" x14ac:dyDescent="0.25">
      <c r="A30" s="196" t="s">
        <v>98</v>
      </c>
      <c r="B30" s="197"/>
      <c r="C30" s="136">
        <v>25479090</v>
      </c>
      <c r="D30" s="138"/>
      <c r="E30" s="136"/>
      <c r="F30" s="138"/>
      <c r="G30" s="254"/>
      <c r="H30" s="254"/>
      <c r="I30" s="254"/>
      <c r="J30" s="254"/>
      <c r="K30" s="254"/>
      <c r="L30" s="136"/>
      <c r="M30" s="138"/>
      <c r="N30" s="136"/>
      <c r="O30" s="195"/>
      <c r="P30" s="9"/>
      <c r="Q30" s="9"/>
      <c r="R30" s="9"/>
      <c r="S30" s="18"/>
      <c r="T30" s="24">
        <f>D23*HLOOKUP(D20,R36:AF48,MATCH(D22,R36:R48,1),FALSE)*S21/T34</f>
        <v>63254599.792369582</v>
      </c>
      <c r="U30" s="24"/>
      <c r="V30" s="25"/>
      <c r="W30" s="97"/>
      <c r="X30" s="97"/>
      <c r="Y30" s="97"/>
      <c r="Z30" s="26"/>
      <c r="AA30" s="9"/>
      <c r="AB30" s="102" t="s">
        <v>3</v>
      </c>
      <c r="AC30" s="103">
        <f t="shared" si="0"/>
        <v>10203750</v>
      </c>
      <c r="AD30" s="103">
        <f>C69*0.1</f>
        <v>20407500</v>
      </c>
      <c r="AE30" s="103">
        <f t="shared" si="2"/>
        <v>16326000</v>
      </c>
      <c r="AF30" s="9"/>
    </row>
    <row r="31" spans="1:32" ht="24" customHeight="1" x14ac:dyDescent="0.25">
      <c r="A31" s="196" t="s">
        <v>99</v>
      </c>
      <c r="B31" s="197"/>
      <c r="C31" s="197"/>
      <c r="D31" s="244">
        <f ca="1">D61</f>
        <v>25479090</v>
      </c>
      <c r="E31" s="245"/>
      <c r="F31" s="246"/>
      <c r="G31" s="247" t="s">
        <v>4</v>
      </c>
      <c r="H31" s="247"/>
      <c r="I31" s="247"/>
      <c r="J31" s="247"/>
      <c r="K31" s="247"/>
      <c r="L31" s="247"/>
      <c r="M31" s="248" t="s">
        <v>11</v>
      </c>
      <c r="N31" s="248"/>
      <c r="O31" s="249"/>
      <c r="P31" s="9"/>
      <c r="Q31" s="9"/>
      <c r="R31" s="9"/>
      <c r="S31" s="18"/>
      <c r="T31" s="24">
        <f>D21*D23*S21/T34</f>
        <v>0</v>
      </c>
      <c r="U31" s="24"/>
      <c r="V31" s="25"/>
      <c r="W31" s="9"/>
      <c r="X31" s="9"/>
      <c r="Y31" s="9"/>
      <c r="Z31" s="9"/>
      <c r="AA31" s="9"/>
      <c r="AB31" s="102" t="s">
        <v>6</v>
      </c>
      <c r="AC31" s="103">
        <f t="shared" si="0"/>
        <v>5101875</v>
      </c>
      <c r="AD31" s="103"/>
      <c r="AE31" s="103"/>
      <c r="AF31" s="9"/>
    </row>
    <row r="32" spans="1:32" ht="25.5" customHeight="1" x14ac:dyDescent="0.25">
      <c r="A32" s="199" t="s">
        <v>107</v>
      </c>
      <c r="B32" s="200"/>
      <c r="C32" s="200"/>
      <c r="D32" s="201">
        <f ca="1">D31*3</f>
        <v>76437270</v>
      </c>
      <c r="E32" s="201"/>
      <c r="F32" s="201"/>
      <c r="G32" s="240" t="s">
        <v>101</v>
      </c>
      <c r="H32" s="240"/>
      <c r="I32" s="240"/>
      <c r="J32" s="240"/>
      <c r="K32" s="240"/>
      <c r="L32" s="240"/>
      <c r="M32" s="241" t="str">
        <f ca="1">IF(D34&gt;=M33,"YETERLİ","YETERLİ DEĞİL")</f>
        <v>YETERLİ DEĞİL</v>
      </c>
      <c r="N32" s="242"/>
      <c r="O32" s="243"/>
      <c r="P32" s="9"/>
      <c r="Q32" s="9"/>
      <c r="R32" s="9"/>
      <c r="S32" s="9" t="s">
        <v>88</v>
      </c>
      <c r="T32" s="9">
        <f>HLOOKUP(R23,Q1:AC19,MATCH(Q23,Q1:Q19,0),FALSE)</f>
        <v>295.31</v>
      </c>
      <c r="U32" s="9">
        <f>S21</f>
        <v>4708.2</v>
      </c>
      <c r="V32" s="25">
        <f>U32/T32</f>
        <v>15.943246080390098</v>
      </c>
      <c r="W32" s="9"/>
      <c r="X32" s="9"/>
      <c r="Y32" s="9"/>
      <c r="Z32" s="9"/>
      <c r="AA32" s="9"/>
      <c r="AB32" s="102" t="s">
        <v>5</v>
      </c>
      <c r="AC32" s="103">
        <f t="shared" si="0"/>
        <v>4336593.75</v>
      </c>
      <c r="AD32" s="103"/>
      <c r="AE32" s="103"/>
      <c r="AF32" s="9"/>
    </row>
    <row r="33" spans="1:32" ht="21.75" customHeight="1" x14ac:dyDescent="0.25">
      <c r="A33" s="160" t="s">
        <v>100</v>
      </c>
      <c r="B33" s="161"/>
      <c r="C33" s="161"/>
      <c r="D33" s="201">
        <f ca="1">SUMIFS(C30:O30,C28:O28,"&lt;5")</f>
        <v>25479090</v>
      </c>
      <c r="E33" s="201"/>
      <c r="F33" s="201"/>
      <c r="G33" s="202" t="s">
        <v>104</v>
      </c>
      <c r="H33" s="202"/>
      <c r="I33" s="202"/>
      <c r="J33" s="202"/>
      <c r="K33" s="202"/>
      <c r="L33" s="202"/>
      <c r="M33" s="201">
        <f>VLOOKUP(M31,B61:C73,2)</f>
        <v>51018750</v>
      </c>
      <c r="N33" s="201"/>
      <c r="O33" s="203"/>
      <c r="P33" s="9"/>
      <c r="Q33" s="9"/>
      <c r="R33" s="9"/>
      <c r="S33" s="9" t="s">
        <v>88</v>
      </c>
      <c r="T33" s="9">
        <f>HLOOKUP(R20,Q1:AC19,MATCH(Q20,Q1:Q19,0),FALSE)</f>
        <v>590.52</v>
      </c>
      <c r="U33" s="9">
        <f>S21</f>
        <v>4708.2</v>
      </c>
      <c r="V33" s="25">
        <f t="shared" ref="V33:V34" si="8">U33/T33</f>
        <v>7.9729729729729728</v>
      </c>
      <c r="W33" s="9"/>
      <c r="X33" s="9"/>
      <c r="Y33" s="9"/>
      <c r="Z33" s="9"/>
      <c r="AA33" s="9"/>
      <c r="AB33" s="102" t="s">
        <v>9</v>
      </c>
      <c r="AC33" s="103">
        <f t="shared" si="0"/>
        <v>3571312.5</v>
      </c>
      <c r="AD33" s="103"/>
      <c r="AE33" s="103"/>
      <c r="AF33" s="9"/>
    </row>
    <row r="34" spans="1:32" ht="30" customHeight="1" thickBot="1" x14ac:dyDescent="0.3">
      <c r="A34" s="189" t="s">
        <v>102</v>
      </c>
      <c r="B34" s="190"/>
      <c r="C34" s="190"/>
      <c r="D34" s="191">
        <f ca="1">IF(D33&gt;2*D31,IF(D33&gt;D32,D32,D33),2*D31)</f>
        <v>50958180</v>
      </c>
      <c r="E34" s="191"/>
      <c r="F34" s="191"/>
      <c r="G34" s="192" t="s">
        <v>103</v>
      </c>
      <c r="H34" s="192"/>
      <c r="I34" s="192"/>
      <c r="J34" s="192"/>
      <c r="K34" s="192"/>
      <c r="L34" s="192"/>
      <c r="M34" s="193" t="str">
        <f ca="1">IFERROR(VLOOKUP(A74,A61:C73,2,0),"H")</f>
        <v>H</v>
      </c>
      <c r="N34" s="193"/>
      <c r="O34" s="194"/>
      <c r="P34" s="9"/>
      <c r="Q34" s="9"/>
      <c r="R34" s="9"/>
      <c r="S34" s="9" t="s">
        <v>88</v>
      </c>
      <c r="T34" s="9">
        <f>HLOOKUP(R25,Q1:AC19,MATCH(Q25,Q1:Q19,0),FALSE)</f>
        <v>693.54</v>
      </c>
      <c r="U34" s="9">
        <f>S21</f>
        <v>4708.2</v>
      </c>
      <c r="V34" s="25">
        <f t="shared" si="8"/>
        <v>6.7886495371571938</v>
      </c>
      <c r="W34" s="9"/>
      <c r="X34" s="9"/>
      <c r="Y34" s="9"/>
      <c r="Z34" s="9"/>
      <c r="AA34" s="9"/>
      <c r="AB34" s="102" t="s">
        <v>11</v>
      </c>
      <c r="AC34" s="103">
        <f t="shared" si="0"/>
        <v>2550937.5</v>
      </c>
      <c r="AD34" s="103"/>
      <c r="AE34" s="103"/>
      <c r="AF34" s="9"/>
    </row>
    <row r="35" spans="1:32" ht="30" customHeight="1" x14ac:dyDescent="0.25">
      <c r="A35" s="27"/>
      <c r="B35" s="27"/>
      <c r="C35" s="27"/>
      <c r="D35" s="28"/>
      <c r="E35" s="28"/>
      <c r="F35" s="28"/>
      <c r="G35" s="29"/>
      <c r="H35" s="29"/>
      <c r="I35" s="29"/>
      <c r="J35" s="29"/>
      <c r="K35" s="29"/>
      <c r="L35" s="29"/>
      <c r="M35" s="22"/>
      <c r="N35" s="22"/>
      <c r="O35" s="22"/>
      <c r="P35" s="9"/>
      <c r="Q35" s="9"/>
      <c r="R35" s="17"/>
      <c r="S35" s="9"/>
      <c r="T35" s="9"/>
      <c r="U35" s="9"/>
      <c r="V35" s="9"/>
      <c r="W35" s="9"/>
      <c r="X35" s="9"/>
      <c r="Y35" s="9"/>
      <c r="Z35" s="9"/>
      <c r="AA35" s="9"/>
      <c r="AB35" s="9"/>
      <c r="AC35" s="9"/>
      <c r="AD35" s="9"/>
      <c r="AE35" s="9"/>
      <c r="AF35" s="9"/>
    </row>
    <row r="36" spans="1:32" ht="15" hidden="1" customHeight="1" x14ac:dyDescent="0.25">
      <c r="A36" s="9"/>
      <c r="B36" s="144" t="s">
        <v>52</v>
      </c>
      <c r="C36" s="145"/>
      <c r="D36" s="145"/>
      <c r="E36" s="145"/>
      <c r="F36" s="145"/>
      <c r="G36" s="145"/>
      <c r="H36" s="145"/>
      <c r="I36" s="145"/>
      <c r="J36" s="145"/>
      <c r="K36" s="145"/>
      <c r="L36" s="145"/>
      <c r="M36" s="145"/>
      <c r="N36" s="145"/>
      <c r="O36" s="145"/>
      <c r="P36" s="146"/>
      <c r="Q36" s="9"/>
      <c r="R36" s="16"/>
      <c r="S36" s="16" t="s">
        <v>44</v>
      </c>
      <c r="T36" s="16" t="s">
        <v>45</v>
      </c>
      <c r="U36" s="16" t="s">
        <v>46</v>
      </c>
      <c r="V36" s="16" t="s">
        <v>49</v>
      </c>
      <c r="W36" s="16" t="s">
        <v>50</v>
      </c>
      <c r="X36" s="16" t="s">
        <v>51</v>
      </c>
      <c r="Y36" s="16" t="s">
        <v>34</v>
      </c>
      <c r="Z36" s="16" t="s">
        <v>1</v>
      </c>
      <c r="AA36" s="16" t="s">
        <v>3</v>
      </c>
      <c r="AB36" s="16" t="s">
        <v>6</v>
      </c>
      <c r="AC36" s="16" t="s">
        <v>5</v>
      </c>
      <c r="AD36" s="16" t="s">
        <v>9</v>
      </c>
      <c r="AE36" s="16" t="s">
        <v>11</v>
      </c>
      <c r="AF36" s="16" t="s">
        <v>254</v>
      </c>
    </row>
    <row r="37" spans="1:32" ht="15" hidden="1" customHeight="1" x14ac:dyDescent="0.25">
      <c r="A37" s="142" t="s">
        <v>249</v>
      </c>
      <c r="B37" s="142" t="s">
        <v>54</v>
      </c>
      <c r="C37" s="30" t="s">
        <v>55</v>
      </c>
      <c r="D37" s="31" t="s">
        <v>56</v>
      </c>
      <c r="E37" s="31" t="s">
        <v>57</v>
      </c>
      <c r="F37" s="31" t="s">
        <v>58</v>
      </c>
      <c r="G37" s="31" t="s">
        <v>59</v>
      </c>
      <c r="H37" s="31" t="s">
        <v>60</v>
      </c>
      <c r="I37" s="31" t="s">
        <v>105</v>
      </c>
      <c r="J37" s="31" t="s">
        <v>61</v>
      </c>
      <c r="K37" s="31" t="s">
        <v>62</v>
      </c>
      <c r="L37" s="31" t="s">
        <v>63</v>
      </c>
      <c r="M37" s="31" t="s">
        <v>64</v>
      </c>
      <c r="N37" s="31" t="s">
        <v>65</v>
      </c>
      <c r="O37" s="31" t="s">
        <v>66</v>
      </c>
      <c r="P37" s="31" t="s">
        <v>67</v>
      </c>
      <c r="Q37" s="9"/>
      <c r="R37" s="32">
        <v>43540</v>
      </c>
      <c r="S37" s="33">
        <f>$D$21</f>
        <v>0</v>
      </c>
      <c r="T37" s="33">
        <v>82656000</v>
      </c>
      <c r="U37" s="33">
        <v>70848000</v>
      </c>
      <c r="V37" s="33">
        <v>59040000</v>
      </c>
      <c r="W37" s="33">
        <v>49200000</v>
      </c>
      <c r="X37" s="33">
        <v>39360000</v>
      </c>
      <c r="Y37" s="33">
        <v>29520000</v>
      </c>
      <c r="Z37" s="33">
        <v>19680000</v>
      </c>
      <c r="AA37" s="33">
        <v>15744000</v>
      </c>
      <c r="AB37" s="33">
        <v>11808000</v>
      </c>
      <c r="AC37" s="33">
        <v>8782200</v>
      </c>
      <c r="AD37" s="33">
        <v>6199200</v>
      </c>
      <c r="AE37" s="33">
        <v>4428000</v>
      </c>
      <c r="AF37" s="33">
        <v>2460000</v>
      </c>
    </row>
    <row r="38" spans="1:32" ht="15" hidden="1" customHeight="1" x14ac:dyDescent="0.25">
      <c r="A38" s="143"/>
      <c r="B38" s="143"/>
      <c r="C38" s="31" t="s">
        <v>68</v>
      </c>
      <c r="D38" s="31" t="s">
        <v>69</v>
      </c>
      <c r="E38" s="31" t="s">
        <v>70</v>
      </c>
      <c r="F38" s="31" t="s">
        <v>71</v>
      </c>
      <c r="G38" s="31" t="s">
        <v>72</v>
      </c>
      <c r="H38" s="31" t="s">
        <v>73</v>
      </c>
      <c r="I38" s="31" t="s">
        <v>106</v>
      </c>
      <c r="J38" s="31" t="s">
        <v>74</v>
      </c>
      <c r="K38" s="31" t="s">
        <v>75</v>
      </c>
      <c r="L38" s="31" t="s">
        <v>76</v>
      </c>
      <c r="M38" s="31" t="s">
        <v>77</v>
      </c>
      <c r="N38" s="31" t="s">
        <v>78</v>
      </c>
      <c r="O38" s="31" t="s">
        <v>79</v>
      </c>
      <c r="P38" s="31" t="s">
        <v>80</v>
      </c>
      <c r="Q38" s="9"/>
      <c r="R38" s="32">
        <v>43900</v>
      </c>
      <c r="S38" s="33">
        <f t="shared" ref="S38:S48" si="9">$D$21</f>
        <v>0</v>
      </c>
      <c r="T38" s="33">
        <v>100170000</v>
      </c>
      <c r="U38" s="33">
        <v>85860000</v>
      </c>
      <c r="V38" s="33">
        <v>71550000</v>
      </c>
      <c r="W38" s="33">
        <v>59625000</v>
      </c>
      <c r="X38" s="33">
        <v>47700000</v>
      </c>
      <c r="Y38" s="33">
        <v>35775000</v>
      </c>
      <c r="Z38" s="33">
        <v>23850000</v>
      </c>
      <c r="AA38" s="33">
        <v>19080000</v>
      </c>
      <c r="AB38" s="33">
        <v>14310000</v>
      </c>
      <c r="AC38" s="33">
        <v>10643062.5</v>
      </c>
      <c r="AD38" s="33">
        <v>7512750</v>
      </c>
      <c r="AE38" s="33">
        <v>5366250</v>
      </c>
      <c r="AF38" s="33">
        <v>2981250</v>
      </c>
    </row>
    <row r="39" spans="1:32" ht="15" hidden="1" customHeight="1" x14ac:dyDescent="0.25">
      <c r="A39" s="32">
        <v>39533</v>
      </c>
      <c r="B39" s="32">
        <v>39448</v>
      </c>
      <c r="C39" s="31">
        <v>2008</v>
      </c>
      <c r="D39" s="34">
        <v>178</v>
      </c>
      <c r="E39" s="34">
        <v>245</v>
      </c>
      <c r="F39" s="34" t="s">
        <v>81</v>
      </c>
      <c r="G39" s="34">
        <v>399</v>
      </c>
      <c r="H39" s="34">
        <v>455</v>
      </c>
      <c r="I39" s="34" t="s">
        <v>81</v>
      </c>
      <c r="J39" s="34">
        <v>513</v>
      </c>
      <c r="K39" s="34">
        <v>568</v>
      </c>
      <c r="L39" s="34">
        <v>682</v>
      </c>
      <c r="M39" s="34">
        <v>846</v>
      </c>
      <c r="N39" s="34">
        <v>1025</v>
      </c>
      <c r="O39" s="34">
        <v>1169</v>
      </c>
      <c r="P39" s="34">
        <v>1396</v>
      </c>
      <c r="Q39" s="9"/>
      <c r="R39" s="32">
        <v>44279</v>
      </c>
      <c r="S39" s="33">
        <f t="shared" si="9"/>
        <v>0</v>
      </c>
      <c r="T39" s="33">
        <v>124236000</v>
      </c>
      <c r="U39" s="33">
        <v>106488000</v>
      </c>
      <c r="V39" s="33">
        <v>88740000</v>
      </c>
      <c r="W39" s="33">
        <v>73950000</v>
      </c>
      <c r="X39" s="33">
        <v>59160000</v>
      </c>
      <c r="Y39" s="33">
        <v>44370000</v>
      </c>
      <c r="Z39" s="33">
        <v>29580000</v>
      </c>
      <c r="AA39" s="33">
        <v>23664000</v>
      </c>
      <c r="AB39" s="33">
        <v>17748000</v>
      </c>
      <c r="AC39" s="33">
        <v>13200075</v>
      </c>
      <c r="AD39" s="33">
        <v>9317700</v>
      </c>
      <c r="AE39" s="33">
        <v>6655500</v>
      </c>
      <c r="AF39" s="33">
        <v>3697500</v>
      </c>
    </row>
    <row r="40" spans="1:32" ht="15" hidden="1" customHeight="1" x14ac:dyDescent="0.25">
      <c r="A40" s="32">
        <v>39891</v>
      </c>
      <c r="B40" s="32">
        <v>39814</v>
      </c>
      <c r="C40" s="31">
        <v>2009</v>
      </c>
      <c r="D40" s="34">
        <v>195</v>
      </c>
      <c r="E40" s="34">
        <v>268</v>
      </c>
      <c r="F40" s="34" t="s">
        <v>81</v>
      </c>
      <c r="G40" s="34">
        <v>437</v>
      </c>
      <c r="H40" s="34">
        <v>498</v>
      </c>
      <c r="I40" s="34" t="s">
        <v>81</v>
      </c>
      <c r="J40" s="34">
        <v>561</v>
      </c>
      <c r="K40" s="34">
        <v>622</v>
      </c>
      <c r="L40" s="34">
        <v>746</v>
      </c>
      <c r="M40" s="34">
        <v>926</v>
      </c>
      <c r="N40" s="34">
        <v>1122</v>
      </c>
      <c r="O40" s="34">
        <v>1279</v>
      </c>
      <c r="P40" s="34">
        <v>1528</v>
      </c>
      <c r="Q40" s="9"/>
      <c r="R40" s="32">
        <v>44610</v>
      </c>
      <c r="S40" s="33">
        <f t="shared" si="9"/>
        <v>0</v>
      </c>
      <c r="T40" s="33">
        <v>206010000</v>
      </c>
      <c r="U40" s="33">
        <v>176580000</v>
      </c>
      <c r="V40" s="33">
        <v>147150000</v>
      </c>
      <c r="W40" s="33">
        <v>122625000</v>
      </c>
      <c r="X40" s="33">
        <v>98100000</v>
      </c>
      <c r="Y40" s="33">
        <v>73575000</v>
      </c>
      <c r="Z40" s="33">
        <v>49050000</v>
      </c>
      <c r="AA40" s="33">
        <v>39240000</v>
      </c>
      <c r="AB40" s="33">
        <v>29430000</v>
      </c>
      <c r="AC40" s="33">
        <v>21888562.5</v>
      </c>
      <c r="AD40" s="33">
        <v>15450750</v>
      </c>
      <c r="AE40" s="33">
        <v>11036250</v>
      </c>
      <c r="AF40" s="33">
        <v>6131250</v>
      </c>
    </row>
    <row r="41" spans="1:32" ht="15" hidden="1" customHeight="1" x14ac:dyDescent="0.25">
      <c r="A41" s="32">
        <v>40269</v>
      </c>
      <c r="B41" s="32">
        <v>40179</v>
      </c>
      <c r="C41" s="31">
        <v>2010</v>
      </c>
      <c r="D41" s="34">
        <v>201</v>
      </c>
      <c r="E41" s="34">
        <v>276</v>
      </c>
      <c r="F41" s="34" t="s">
        <v>81</v>
      </c>
      <c r="G41" s="34">
        <v>448</v>
      </c>
      <c r="H41" s="34">
        <v>511</v>
      </c>
      <c r="I41" s="34" t="s">
        <v>81</v>
      </c>
      <c r="J41" s="34">
        <v>577</v>
      </c>
      <c r="K41" s="34">
        <v>640</v>
      </c>
      <c r="L41" s="34">
        <v>761</v>
      </c>
      <c r="M41" s="34">
        <v>945</v>
      </c>
      <c r="N41" s="34">
        <v>1144</v>
      </c>
      <c r="O41" s="34">
        <v>1279</v>
      </c>
      <c r="P41" s="34">
        <v>1559</v>
      </c>
      <c r="Q41" s="9"/>
      <c r="R41" s="32">
        <v>44733</v>
      </c>
      <c r="S41" s="33">
        <f t="shared" si="9"/>
        <v>0</v>
      </c>
      <c r="T41" s="33">
        <v>294462000</v>
      </c>
      <c r="U41" s="33">
        <v>252396000</v>
      </c>
      <c r="V41" s="33">
        <v>210330000</v>
      </c>
      <c r="W41" s="33">
        <v>175275000</v>
      </c>
      <c r="X41" s="33">
        <v>140220000</v>
      </c>
      <c r="Y41" s="33">
        <v>105165000</v>
      </c>
      <c r="Z41" s="33">
        <v>70110000</v>
      </c>
      <c r="AA41" s="33">
        <v>56088000</v>
      </c>
      <c r="AB41" s="33">
        <v>42066000</v>
      </c>
      <c r="AC41" s="33">
        <v>31286587.5</v>
      </c>
      <c r="AD41" s="33">
        <v>22084650</v>
      </c>
      <c r="AE41" s="33">
        <v>15774750</v>
      </c>
      <c r="AF41" s="33">
        <v>8763750</v>
      </c>
    </row>
    <row r="42" spans="1:32" ht="15" hidden="1" customHeight="1" x14ac:dyDescent="0.25">
      <c r="A42" s="32">
        <v>40661</v>
      </c>
      <c r="B42" s="32">
        <v>40544</v>
      </c>
      <c r="C42" s="31">
        <v>2011</v>
      </c>
      <c r="D42" s="34">
        <v>216</v>
      </c>
      <c r="E42" s="34">
        <v>297</v>
      </c>
      <c r="F42" s="34">
        <v>343</v>
      </c>
      <c r="G42" s="34">
        <v>482</v>
      </c>
      <c r="H42" s="34">
        <v>565</v>
      </c>
      <c r="I42" s="34" t="s">
        <v>81</v>
      </c>
      <c r="J42" s="34">
        <v>625</v>
      </c>
      <c r="K42" s="34">
        <v>701</v>
      </c>
      <c r="L42" s="34">
        <v>819</v>
      </c>
      <c r="M42" s="34">
        <v>1035</v>
      </c>
      <c r="N42" s="34">
        <v>1235</v>
      </c>
      <c r="O42" s="34">
        <v>1415</v>
      </c>
      <c r="P42" s="34">
        <v>1710</v>
      </c>
      <c r="Q42" s="9"/>
      <c r="R42" s="32">
        <v>44817</v>
      </c>
      <c r="S42" s="33">
        <f t="shared" si="9"/>
        <v>0</v>
      </c>
      <c r="T42" s="33">
        <v>319410000</v>
      </c>
      <c r="U42" s="33">
        <v>273780000</v>
      </c>
      <c r="V42" s="33">
        <v>228150000</v>
      </c>
      <c r="W42" s="33">
        <v>190125000</v>
      </c>
      <c r="X42" s="33">
        <v>152100000</v>
      </c>
      <c r="Y42" s="33">
        <v>114075000</v>
      </c>
      <c r="Z42" s="33">
        <v>76050000</v>
      </c>
      <c r="AA42" s="33">
        <v>60840000</v>
      </c>
      <c r="AB42" s="33">
        <v>45630000</v>
      </c>
      <c r="AC42" s="33">
        <v>33937312.5</v>
      </c>
      <c r="AD42" s="33">
        <v>23955750</v>
      </c>
      <c r="AE42" s="33">
        <v>17111250</v>
      </c>
      <c r="AF42" s="33">
        <v>9506250</v>
      </c>
    </row>
    <row r="43" spans="1:32" ht="15" hidden="1" customHeight="1" x14ac:dyDescent="0.25">
      <c r="A43" s="32">
        <v>41027</v>
      </c>
      <c r="B43" s="32">
        <v>40909</v>
      </c>
      <c r="C43" s="31">
        <v>2012</v>
      </c>
      <c r="D43" s="34">
        <v>225</v>
      </c>
      <c r="E43" s="34">
        <v>305</v>
      </c>
      <c r="F43" s="34">
        <v>360</v>
      </c>
      <c r="G43" s="34">
        <v>475</v>
      </c>
      <c r="H43" s="34">
        <v>560</v>
      </c>
      <c r="I43" s="34" t="s">
        <v>81</v>
      </c>
      <c r="J43" s="34">
        <v>615</v>
      </c>
      <c r="K43" s="34">
        <v>695</v>
      </c>
      <c r="L43" s="34">
        <v>800</v>
      </c>
      <c r="M43" s="34">
        <v>1015</v>
      </c>
      <c r="N43" s="34">
        <v>1240</v>
      </c>
      <c r="O43" s="34">
        <v>1400</v>
      </c>
      <c r="P43" s="34">
        <v>1690</v>
      </c>
      <c r="Q43" s="9"/>
      <c r="R43" s="32">
        <v>44968</v>
      </c>
      <c r="S43" s="33">
        <f t="shared" si="9"/>
        <v>0</v>
      </c>
      <c r="T43" s="33">
        <v>437220000</v>
      </c>
      <c r="U43" s="33">
        <v>374760000</v>
      </c>
      <c r="V43" s="33">
        <v>312300000</v>
      </c>
      <c r="W43" s="33">
        <v>260250000</v>
      </c>
      <c r="X43" s="33">
        <v>208200000</v>
      </c>
      <c r="Y43" s="33">
        <v>156150000</v>
      </c>
      <c r="Z43" s="33">
        <v>104100000</v>
      </c>
      <c r="AA43" s="33">
        <v>83280000</v>
      </c>
      <c r="AB43" s="33">
        <v>62460000</v>
      </c>
      <c r="AC43" s="33">
        <v>46454625</v>
      </c>
      <c r="AD43" s="33">
        <v>32791500</v>
      </c>
      <c r="AE43" s="33">
        <v>23422500</v>
      </c>
      <c r="AF43" s="33">
        <v>13012500</v>
      </c>
    </row>
    <row r="44" spans="1:32" ht="15" hidden="1" customHeight="1" x14ac:dyDescent="0.25">
      <c r="A44" s="32">
        <v>41388</v>
      </c>
      <c r="B44" s="32">
        <v>41275</v>
      </c>
      <c r="C44" s="31">
        <v>2013</v>
      </c>
      <c r="D44" s="34">
        <v>235</v>
      </c>
      <c r="E44" s="34">
        <v>320</v>
      </c>
      <c r="F44" s="34">
        <v>370</v>
      </c>
      <c r="G44" s="34">
        <v>490</v>
      </c>
      <c r="H44" s="34">
        <v>585</v>
      </c>
      <c r="I44" s="34" t="s">
        <v>81</v>
      </c>
      <c r="J44" s="34">
        <v>650</v>
      </c>
      <c r="K44" s="34">
        <v>730</v>
      </c>
      <c r="L44" s="34">
        <v>840</v>
      </c>
      <c r="M44" s="34">
        <v>1040</v>
      </c>
      <c r="N44" s="34">
        <v>1270</v>
      </c>
      <c r="O44" s="34">
        <v>1450</v>
      </c>
      <c r="P44" s="34">
        <v>1750</v>
      </c>
      <c r="Q44" s="9"/>
      <c r="R44" s="32">
        <v>45150</v>
      </c>
      <c r="S44" s="33">
        <f t="shared" si="9"/>
        <v>0</v>
      </c>
      <c r="T44" s="33">
        <v>645120000</v>
      </c>
      <c r="U44" s="33">
        <v>552960000</v>
      </c>
      <c r="V44" s="33">
        <v>460800000</v>
      </c>
      <c r="W44" s="33">
        <v>384000000</v>
      </c>
      <c r="X44" s="33">
        <v>307200000</v>
      </c>
      <c r="Y44" s="33">
        <v>230400000</v>
      </c>
      <c r="Z44" s="33">
        <v>153600000</v>
      </c>
      <c r="AA44" s="33">
        <v>122880000</v>
      </c>
      <c r="AB44" s="33">
        <v>92160000</v>
      </c>
      <c r="AC44" s="33">
        <v>68544000</v>
      </c>
      <c r="AD44" s="33">
        <v>48384000</v>
      </c>
      <c r="AE44" s="33">
        <v>34560000</v>
      </c>
      <c r="AF44" s="33">
        <v>19200000</v>
      </c>
    </row>
    <row r="45" spans="1:32" ht="15" hidden="1" customHeight="1" x14ac:dyDescent="0.25">
      <c r="A45" s="32">
        <v>41765</v>
      </c>
      <c r="B45" s="32">
        <v>41640</v>
      </c>
      <c r="C45" s="31">
        <v>2014</v>
      </c>
      <c r="D45" s="34">
        <v>250</v>
      </c>
      <c r="E45" s="34">
        <v>350</v>
      </c>
      <c r="F45" s="34">
        <v>400</v>
      </c>
      <c r="G45" s="34">
        <v>550</v>
      </c>
      <c r="H45" s="34">
        <v>650</v>
      </c>
      <c r="I45" s="34" t="s">
        <v>81</v>
      </c>
      <c r="J45" s="34">
        <v>700</v>
      </c>
      <c r="K45" s="34">
        <v>800</v>
      </c>
      <c r="L45" s="34">
        <v>900</v>
      </c>
      <c r="M45" s="34">
        <v>1150</v>
      </c>
      <c r="N45" s="34">
        <v>1400</v>
      </c>
      <c r="O45" s="34">
        <v>1600</v>
      </c>
      <c r="P45" s="34">
        <v>1900</v>
      </c>
      <c r="Q45" s="9"/>
      <c r="R45" s="32">
        <v>45244</v>
      </c>
      <c r="S45" s="33">
        <f t="shared" si="9"/>
        <v>0</v>
      </c>
      <c r="T45" s="33">
        <v>645120000</v>
      </c>
      <c r="U45" s="33">
        <v>552960000</v>
      </c>
      <c r="V45" s="33">
        <v>460800000</v>
      </c>
      <c r="W45" s="33">
        <v>384000000</v>
      </c>
      <c r="X45" s="33">
        <v>307200000</v>
      </c>
      <c r="Y45" s="33">
        <v>230400000</v>
      </c>
      <c r="Z45" s="33">
        <v>176640000</v>
      </c>
      <c r="AA45" s="33">
        <v>122880000</v>
      </c>
      <c r="AB45" s="33">
        <v>92160000</v>
      </c>
      <c r="AC45" s="33">
        <v>68544000</v>
      </c>
      <c r="AD45" s="33">
        <v>48384000</v>
      </c>
      <c r="AE45" s="33">
        <v>34560000</v>
      </c>
      <c r="AF45" s="33">
        <v>19200000</v>
      </c>
    </row>
    <row r="46" spans="1:32" ht="15" hidden="1" customHeight="1" x14ac:dyDescent="0.25">
      <c r="A46" s="32">
        <v>42082</v>
      </c>
      <c r="B46" s="32">
        <v>42005</v>
      </c>
      <c r="C46" s="31">
        <v>2015</v>
      </c>
      <c r="D46" s="34">
        <v>270</v>
      </c>
      <c r="E46" s="34">
        <v>370</v>
      </c>
      <c r="F46" s="34">
        <v>430</v>
      </c>
      <c r="G46" s="34">
        <v>590</v>
      </c>
      <c r="H46" s="34">
        <v>700</v>
      </c>
      <c r="I46" s="34" t="s">
        <v>81</v>
      </c>
      <c r="J46" s="34">
        <v>750</v>
      </c>
      <c r="K46" s="34">
        <v>860</v>
      </c>
      <c r="L46" s="34">
        <v>960</v>
      </c>
      <c r="M46" s="34">
        <v>1230</v>
      </c>
      <c r="N46" s="34">
        <v>1500</v>
      </c>
      <c r="O46" s="34">
        <v>1710</v>
      </c>
      <c r="P46" s="34">
        <v>2040</v>
      </c>
      <c r="Q46" s="9"/>
      <c r="R46" s="32">
        <v>45342</v>
      </c>
      <c r="S46" s="33">
        <f t="shared" si="9"/>
        <v>0</v>
      </c>
      <c r="T46" s="33">
        <v>983430000</v>
      </c>
      <c r="U46" s="33">
        <v>842940000</v>
      </c>
      <c r="V46" s="33">
        <v>702450000</v>
      </c>
      <c r="W46" s="33">
        <v>585375000</v>
      </c>
      <c r="X46" s="33">
        <v>468300000</v>
      </c>
      <c r="Y46" s="33">
        <v>351225000</v>
      </c>
      <c r="Z46" s="33">
        <v>269272500</v>
      </c>
      <c r="AA46" s="33">
        <v>187320000</v>
      </c>
      <c r="AB46" s="33">
        <v>140490000</v>
      </c>
      <c r="AC46" s="33">
        <v>104489437.5</v>
      </c>
      <c r="AD46" s="33">
        <v>73757250</v>
      </c>
      <c r="AE46" s="33">
        <v>52683750</v>
      </c>
      <c r="AF46" s="33">
        <v>29268750</v>
      </c>
    </row>
    <row r="47" spans="1:32" ht="15" hidden="1" customHeight="1" x14ac:dyDescent="0.25">
      <c r="A47" s="32">
        <v>42469</v>
      </c>
      <c r="B47" s="32">
        <v>42370</v>
      </c>
      <c r="C47" s="31">
        <v>2016</v>
      </c>
      <c r="D47" s="34">
        <v>290</v>
      </c>
      <c r="E47" s="34">
        <v>390</v>
      </c>
      <c r="F47" s="34">
        <v>460</v>
      </c>
      <c r="G47" s="34">
        <v>630</v>
      </c>
      <c r="H47" s="34">
        <v>750</v>
      </c>
      <c r="I47" s="34" t="s">
        <v>81</v>
      </c>
      <c r="J47" s="34">
        <v>800</v>
      </c>
      <c r="K47" s="34">
        <v>920</v>
      </c>
      <c r="L47" s="34">
        <v>1030</v>
      </c>
      <c r="M47" s="34">
        <v>1320</v>
      </c>
      <c r="N47" s="34">
        <v>1610</v>
      </c>
      <c r="O47" s="34">
        <v>1835</v>
      </c>
      <c r="P47" s="34">
        <v>2150</v>
      </c>
      <c r="Q47" s="9"/>
      <c r="R47" s="32">
        <v>45688</v>
      </c>
      <c r="S47" s="33">
        <f t="shared" si="9"/>
        <v>0</v>
      </c>
      <c r="T47" s="33">
        <v>1428525000</v>
      </c>
      <c r="U47" s="33">
        <v>1224450000</v>
      </c>
      <c r="V47" s="33">
        <v>1020375000</v>
      </c>
      <c r="W47" s="33">
        <v>850312500</v>
      </c>
      <c r="X47" s="33">
        <v>680250000</v>
      </c>
      <c r="Y47" s="33">
        <v>510187500</v>
      </c>
      <c r="Z47" s="33">
        <v>391143749.99999994</v>
      </c>
      <c r="AA47" s="33">
        <v>272100000</v>
      </c>
      <c r="AB47" s="33">
        <v>204075000</v>
      </c>
      <c r="AC47" s="33">
        <v>151780781.25</v>
      </c>
      <c r="AD47" s="33">
        <v>107139375</v>
      </c>
      <c r="AE47" s="33">
        <v>76528125</v>
      </c>
      <c r="AF47" s="33">
        <v>42515625</v>
      </c>
    </row>
    <row r="48" spans="1:32" ht="15" hidden="1" customHeight="1" x14ac:dyDescent="0.25">
      <c r="A48" s="32">
        <v>42859</v>
      </c>
      <c r="B48" s="32">
        <v>42736</v>
      </c>
      <c r="C48" s="31">
        <v>2017</v>
      </c>
      <c r="D48" s="34">
        <v>320</v>
      </c>
      <c r="E48" s="34">
        <v>419</v>
      </c>
      <c r="F48" s="34">
        <v>502</v>
      </c>
      <c r="G48" s="34">
        <v>694</v>
      </c>
      <c r="H48" s="34">
        <v>838</v>
      </c>
      <c r="I48" s="34" t="s">
        <v>81</v>
      </c>
      <c r="J48" s="34">
        <v>882</v>
      </c>
      <c r="K48" s="34">
        <v>1021</v>
      </c>
      <c r="L48" s="34">
        <v>1135</v>
      </c>
      <c r="M48" s="34">
        <v>1425</v>
      </c>
      <c r="N48" s="34">
        <v>1764</v>
      </c>
      <c r="O48" s="34">
        <v>2023</v>
      </c>
      <c r="P48" s="34">
        <v>2383</v>
      </c>
      <c r="Q48" s="9"/>
      <c r="R48" s="32">
        <v>45809</v>
      </c>
      <c r="S48" s="33">
        <f t="shared" si="9"/>
        <v>0</v>
      </c>
      <c r="T48" s="33">
        <v>1428525000</v>
      </c>
      <c r="U48" s="33">
        <v>1224450000</v>
      </c>
      <c r="V48" s="33">
        <v>1020375000</v>
      </c>
      <c r="W48" s="33">
        <v>850312500</v>
      </c>
      <c r="X48" s="33">
        <v>680250000</v>
      </c>
      <c r="Y48" s="33">
        <v>510187500</v>
      </c>
      <c r="Z48" s="33">
        <v>391143749.99999994</v>
      </c>
      <c r="AA48" s="33">
        <v>272100000</v>
      </c>
      <c r="AB48" s="33">
        <v>204075000</v>
      </c>
      <c r="AC48" s="33">
        <v>151780781.25</v>
      </c>
      <c r="AD48" s="33">
        <v>107139375</v>
      </c>
      <c r="AE48" s="33">
        <v>76528125</v>
      </c>
      <c r="AF48" s="33">
        <v>36441964.285714284</v>
      </c>
    </row>
    <row r="49" spans="1:32" ht="15" hidden="1" customHeight="1" x14ac:dyDescent="0.25">
      <c r="A49" s="32">
        <v>43216</v>
      </c>
      <c r="B49" s="32">
        <v>43101</v>
      </c>
      <c r="C49" s="31">
        <v>2018</v>
      </c>
      <c r="D49" s="34">
        <v>369</v>
      </c>
      <c r="E49" s="34">
        <v>483</v>
      </c>
      <c r="F49" s="34">
        <v>578</v>
      </c>
      <c r="G49" s="34">
        <v>800</v>
      </c>
      <c r="H49" s="34">
        <v>966</v>
      </c>
      <c r="I49" s="34" t="s">
        <v>81</v>
      </c>
      <c r="J49" s="34">
        <v>1016</v>
      </c>
      <c r="K49" s="34">
        <v>1177</v>
      </c>
      <c r="L49" s="34">
        <v>1308</v>
      </c>
      <c r="M49" s="34">
        <v>1642</v>
      </c>
      <c r="N49" s="34">
        <v>2033</v>
      </c>
      <c r="O49" s="34">
        <v>2331</v>
      </c>
      <c r="P49" s="34">
        <v>2746</v>
      </c>
      <c r="Q49" s="9"/>
      <c r="R49" s="9"/>
      <c r="S49" s="9"/>
      <c r="T49" s="9"/>
      <c r="U49" s="9"/>
      <c r="V49" s="9"/>
      <c r="W49" s="9"/>
      <c r="X49" s="9"/>
      <c r="Y49" s="9"/>
      <c r="Z49" s="9"/>
      <c r="AA49" s="9"/>
      <c r="AB49" s="9"/>
      <c r="AC49" s="9"/>
      <c r="AD49" s="9"/>
      <c r="AE49" s="9"/>
      <c r="AF49" s="9"/>
    </row>
    <row r="50" spans="1:32" ht="15" hidden="1" customHeight="1" x14ac:dyDescent="0.25">
      <c r="A50" s="32">
        <v>43540</v>
      </c>
      <c r="B50" s="32">
        <v>43466</v>
      </c>
      <c r="C50" s="31">
        <v>2019</v>
      </c>
      <c r="D50" s="34">
        <v>450</v>
      </c>
      <c r="E50" s="34">
        <v>590</v>
      </c>
      <c r="F50" s="34">
        <v>710</v>
      </c>
      <c r="G50" s="34">
        <v>980</v>
      </c>
      <c r="H50" s="34">
        <v>1210</v>
      </c>
      <c r="I50" s="34" t="s">
        <v>81</v>
      </c>
      <c r="J50" s="34">
        <v>1270</v>
      </c>
      <c r="K50" s="34">
        <v>1470</v>
      </c>
      <c r="L50" s="34">
        <v>1630</v>
      </c>
      <c r="M50" s="34">
        <v>2010</v>
      </c>
      <c r="N50" s="34">
        <v>2485</v>
      </c>
      <c r="O50" s="34">
        <v>2850</v>
      </c>
      <c r="P50" s="34">
        <v>3360</v>
      </c>
      <c r="Q50" s="9"/>
      <c r="R50" s="9"/>
      <c r="S50" s="9"/>
      <c r="T50" s="9"/>
      <c r="U50" s="9"/>
      <c r="V50" s="9"/>
      <c r="W50" s="9"/>
      <c r="X50" s="9"/>
      <c r="Y50" s="9"/>
      <c r="Z50" s="35"/>
      <c r="AA50" s="9"/>
      <c r="AB50" s="9"/>
      <c r="AC50" s="9"/>
      <c r="AD50" s="9"/>
      <c r="AE50" s="9"/>
      <c r="AF50" s="9"/>
    </row>
    <row r="51" spans="1:32" ht="15" hidden="1" customHeight="1" x14ac:dyDescent="0.25">
      <c r="A51" s="32">
        <v>43900</v>
      </c>
      <c r="B51" s="32">
        <v>43831</v>
      </c>
      <c r="C51" s="31">
        <v>2020</v>
      </c>
      <c r="D51" s="34">
        <v>510</v>
      </c>
      <c r="E51" s="34">
        <v>750</v>
      </c>
      <c r="F51" s="34">
        <v>820</v>
      </c>
      <c r="G51" s="34">
        <v>1100</v>
      </c>
      <c r="H51" s="34">
        <v>1450</v>
      </c>
      <c r="I51" s="34" t="s">
        <v>81</v>
      </c>
      <c r="J51" s="34">
        <v>1550</v>
      </c>
      <c r="K51" s="34">
        <v>1850</v>
      </c>
      <c r="L51" s="34">
        <v>2000</v>
      </c>
      <c r="M51" s="34">
        <v>2400</v>
      </c>
      <c r="N51" s="34">
        <v>2900</v>
      </c>
      <c r="O51" s="34">
        <v>3250</v>
      </c>
      <c r="P51" s="34">
        <v>3800</v>
      </c>
      <c r="Q51" s="9"/>
      <c r="R51" s="9"/>
      <c r="S51" s="9"/>
      <c r="T51" s="9"/>
      <c r="U51" s="9"/>
      <c r="V51" s="9"/>
      <c r="W51" s="9"/>
      <c r="X51" s="9"/>
      <c r="Y51" s="9"/>
      <c r="Z51" s="24"/>
      <c r="AA51" s="9"/>
      <c r="AB51" s="9"/>
      <c r="AC51" s="9"/>
      <c r="AD51" s="9"/>
      <c r="AE51" s="9"/>
      <c r="AF51" s="9"/>
    </row>
    <row r="52" spans="1:32" ht="15" hidden="1" customHeight="1" x14ac:dyDescent="0.25">
      <c r="A52" s="32">
        <v>44279</v>
      </c>
      <c r="B52" s="32">
        <v>44197</v>
      </c>
      <c r="C52" s="31">
        <v>2021</v>
      </c>
      <c r="D52" s="34">
        <v>640</v>
      </c>
      <c r="E52" s="34">
        <v>940</v>
      </c>
      <c r="F52" s="34">
        <v>1030</v>
      </c>
      <c r="G52" s="34">
        <v>1360</v>
      </c>
      <c r="H52" s="34">
        <v>1800</v>
      </c>
      <c r="I52" s="34" t="s">
        <v>81</v>
      </c>
      <c r="J52" s="34">
        <v>1920</v>
      </c>
      <c r="K52" s="34">
        <v>2300</v>
      </c>
      <c r="L52" s="34">
        <v>2480</v>
      </c>
      <c r="M52" s="34">
        <v>2970</v>
      </c>
      <c r="N52" s="34">
        <v>3600</v>
      </c>
      <c r="O52" s="34">
        <v>4000</v>
      </c>
      <c r="P52" s="34">
        <v>4700</v>
      </c>
      <c r="Q52" s="9"/>
      <c r="R52" s="9"/>
      <c r="S52" s="9"/>
      <c r="T52" s="9"/>
      <c r="U52" s="9"/>
      <c r="V52" s="9"/>
      <c r="W52" s="9"/>
      <c r="X52" s="9"/>
      <c r="Y52" s="9"/>
      <c r="Z52" s="9"/>
      <c r="AA52" s="9"/>
      <c r="AB52" s="9"/>
      <c r="AC52" s="9"/>
      <c r="AD52" s="9"/>
      <c r="AE52" s="9"/>
      <c r="AF52" s="9"/>
    </row>
    <row r="53" spans="1:32" ht="15" hidden="1" customHeight="1" x14ac:dyDescent="0.25">
      <c r="A53" s="32">
        <v>44610</v>
      </c>
      <c r="B53" s="32">
        <v>44562</v>
      </c>
      <c r="C53" s="31" t="s">
        <v>82</v>
      </c>
      <c r="D53" s="34">
        <v>1050</v>
      </c>
      <c r="E53" s="34">
        <v>1550</v>
      </c>
      <c r="F53" s="34">
        <v>1700</v>
      </c>
      <c r="G53" s="34">
        <v>2250</v>
      </c>
      <c r="H53" s="34">
        <v>3000</v>
      </c>
      <c r="I53" s="34" t="s">
        <v>81</v>
      </c>
      <c r="J53" s="34">
        <v>3200</v>
      </c>
      <c r="K53" s="34">
        <v>3800</v>
      </c>
      <c r="L53" s="34">
        <v>4100</v>
      </c>
      <c r="M53" s="34">
        <v>4950</v>
      </c>
      <c r="N53" s="34">
        <v>6000</v>
      </c>
      <c r="O53" s="34">
        <v>6650</v>
      </c>
      <c r="P53" s="34">
        <v>7800</v>
      </c>
      <c r="Q53" s="9"/>
      <c r="R53" s="9"/>
      <c r="S53" s="9"/>
      <c r="T53" s="9"/>
      <c r="U53" s="9"/>
      <c r="V53" s="9"/>
      <c r="W53" s="9"/>
      <c r="X53" s="9"/>
      <c r="Y53" s="9"/>
      <c r="Z53" s="9"/>
      <c r="AA53" s="9"/>
      <c r="AB53" s="9"/>
      <c r="AC53" s="9"/>
      <c r="AD53" s="9"/>
      <c r="AE53" s="9"/>
      <c r="AF53" s="9"/>
    </row>
    <row r="54" spans="1:32" ht="15" hidden="1" customHeight="1" x14ac:dyDescent="0.25">
      <c r="A54" s="32">
        <v>44733</v>
      </c>
      <c r="B54" s="32">
        <v>44714</v>
      </c>
      <c r="C54" s="31" t="s">
        <v>83</v>
      </c>
      <c r="D54" s="34">
        <v>1500</v>
      </c>
      <c r="E54" s="34">
        <v>2210</v>
      </c>
      <c r="F54" s="34">
        <v>2425</v>
      </c>
      <c r="G54" s="34">
        <v>3200</v>
      </c>
      <c r="H54" s="34">
        <v>4275</v>
      </c>
      <c r="I54" s="34" t="s">
        <v>81</v>
      </c>
      <c r="J54" s="34">
        <v>4580</v>
      </c>
      <c r="K54" s="34">
        <v>5440</v>
      </c>
      <c r="L54" s="34">
        <v>5875</v>
      </c>
      <c r="M54" s="34">
        <v>7090</v>
      </c>
      <c r="N54" s="34">
        <v>8595</v>
      </c>
      <c r="O54" s="34">
        <v>9525</v>
      </c>
      <c r="P54" s="34">
        <v>11175</v>
      </c>
      <c r="Q54" s="9"/>
      <c r="R54" s="9"/>
      <c r="S54" s="9"/>
      <c r="T54" s="9"/>
      <c r="U54" s="9"/>
      <c r="V54" s="9"/>
      <c r="W54" s="9"/>
      <c r="X54" s="9"/>
      <c r="Y54" s="9"/>
      <c r="Z54" s="9"/>
      <c r="AA54" s="9"/>
      <c r="AB54" s="9"/>
      <c r="AC54" s="9"/>
      <c r="AD54" s="9"/>
      <c r="AE54" s="9"/>
      <c r="AF54" s="9"/>
    </row>
    <row r="55" spans="1:32" ht="15" hidden="1" customHeight="1" x14ac:dyDescent="0.25">
      <c r="A55" s="32">
        <v>44817</v>
      </c>
      <c r="B55" s="32">
        <v>44743</v>
      </c>
      <c r="C55" s="31" t="s">
        <v>84</v>
      </c>
      <c r="D55" s="34">
        <v>1650</v>
      </c>
      <c r="E55" s="34">
        <v>2400</v>
      </c>
      <c r="F55" s="34">
        <v>2685</v>
      </c>
      <c r="G55" s="34">
        <v>3450</v>
      </c>
      <c r="H55" s="34">
        <v>4650</v>
      </c>
      <c r="I55" s="34" t="s">
        <v>81</v>
      </c>
      <c r="J55" s="34">
        <v>4950</v>
      </c>
      <c r="K55" s="34">
        <v>5900</v>
      </c>
      <c r="L55" s="34">
        <v>6400</v>
      </c>
      <c r="M55" s="34">
        <v>7700</v>
      </c>
      <c r="N55" s="34">
        <v>9350</v>
      </c>
      <c r="O55" s="34">
        <v>10300</v>
      </c>
      <c r="P55" s="34">
        <v>12150</v>
      </c>
      <c r="Q55" s="9"/>
      <c r="R55" s="9"/>
      <c r="S55" s="9"/>
      <c r="T55" s="9"/>
      <c r="U55" s="9"/>
      <c r="V55" s="9"/>
      <c r="W55" s="9"/>
      <c r="X55" s="9"/>
      <c r="Y55" s="9"/>
      <c r="Z55" s="9"/>
      <c r="AA55" s="9"/>
      <c r="AB55" s="9"/>
      <c r="AC55" s="9"/>
      <c r="AD55" s="9"/>
      <c r="AE55" s="9"/>
      <c r="AF55" s="9"/>
    </row>
    <row r="56" spans="1:32" ht="15" hidden="1" customHeight="1" x14ac:dyDescent="0.25">
      <c r="A56" s="32">
        <v>44968</v>
      </c>
      <c r="B56" s="32">
        <v>44927</v>
      </c>
      <c r="C56" s="31" t="s">
        <v>85</v>
      </c>
      <c r="D56" s="34">
        <v>2195</v>
      </c>
      <c r="E56" s="34">
        <v>3200</v>
      </c>
      <c r="F56" s="34">
        <v>3575</v>
      </c>
      <c r="G56" s="34">
        <v>4600</v>
      </c>
      <c r="H56" s="34">
        <v>6350</v>
      </c>
      <c r="I56" s="34" t="s">
        <v>81</v>
      </c>
      <c r="J56" s="34">
        <v>6825</v>
      </c>
      <c r="K56" s="34">
        <v>8100</v>
      </c>
      <c r="L56" s="34">
        <v>8825</v>
      </c>
      <c r="M56" s="34">
        <v>10650</v>
      </c>
      <c r="N56" s="34">
        <v>12950</v>
      </c>
      <c r="O56" s="34">
        <v>14350</v>
      </c>
      <c r="P56" s="34">
        <v>16950</v>
      </c>
      <c r="Q56" s="9"/>
      <c r="R56" s="9"/>
      <c r="S56" s="9"/>
      <c r="T56" s="9"/>
      <c r="U56" s="9"/>
      <c r="V56" s="9"/>
      <c r="W56" s="9"/>
      <c r="X56" s="9"/>
      <c r="Y56" s="9"/>
      <c r="Z56" s="9"/>
      <c r="AA56" s="9"/>
      <c r="AB56" s="9"/>
      <c r="AC56" s="9"/>
      <c r="AD56" s="9"/>
      <c r="AE56" s="9"/>
      <c r="AF56" s="9"/>
    </row>
    <row r="57" spans="1:32" ht="15" hidden="1" customHeight="1" x14ac:dyDescent="0.25">
      <c r="A57" s="32">
        <v>45150</v>
      </c>
      <c r="B57" s="32">
        <v>45108</v>
      </c>
      <c r="C57" s="31" t="s">
        <v>86</v>
      </c>
      <c r="D57" s="34">
        <v>2600</v>
      </c>
      <c r="E57" s="34">
        <v>3800</v>
      </c>
      <c r="F57" s="34">
        <v>5350</v>
      </c>
      <c r="G57" s="34">
        <v>7500</v>
      </c>
      <c r="H57" s="34">
        <v>9000</v>
      </c>
      <c r="I57" s="34" t="s">
        <v>81</v>
      </c>
      <c r="J57" s="34">
        <v>10200</v>
      </c>
      <c r="K57" s="34">
        <v>12050</v>
      </c>
      <c r="L57" s="34">
        <v>12450</v>
      </c>
      <c r="M57" s="34">
        <v>13800</v>
      </c>
      <c r="N57" s="34">
        <v>16250</v>
      </c>
      <c r="O57" s="34">
        <v>18100</v>
      </c>
      <c r="P57" s="34">
        <v>21400</v>
      </c>
      <c r="Q57" s="9"/>
      <c r="R57" s="9"/>
      <c r="S57" s="9"/>
      <c r="T57" s="9"/>
      <c r="U57" s="9"/>
      <c r="V57" s="9"/>
      <c r="W57" s="9"/>
      <c r="X57" s="9"/>
      <c r="Y57" s="9"/>
      <c r="Z57" s="9"/>
      <c r="AA57" s="9"/>
      <c r="AB57" s="9"/>
      <c r="AC57" s="9"/>
      <c r="AD57" s="9"/>
      <c r="AE57" s="9"/>
      <c r="AF57" s="9"/>
    </row>
    <row r="58" spans="1:32" ht="15" hidden="1" customHeight="1" x14ac:dyDescent="0.25">
      <c r="A58" s="32">
        <v>45342</v>
      </c>
      <c r="B58" s="32">
        <v>45292</v>
      </c>
      <c r="C58" s="31">
        <v>2024</v>
      </c>
      <c r="D58" s="34">
        <v>3500</v>
      </c>
      <c r="E58" s="34">
        <v>5250</v>
      </c>
      <c r="F58" s="34">
        <v>7750</v>
      </c>
      <c r="G58" s="34">
        <v>12250</v>
      </c>
      <c r="H58" s="34">
        <v>14400</v>
      </c>
      <c r="I58" s="34" t="s">
        <v>81</v>
      </c>
      <c r="J58" s="34">
        <v>15300</v>
      </c>
      <c r="K58" s="34">
        <v>17400</v>
      </c>
      <c r="L58" s="34">
        <v>18700</v>
      </c>
      <c r="M58" s="34">
        <v>21300</v>
      </c>
      <c r="N58" s="34">
        <v>22250</v>
      </c>
      <c r="O58" s="34">
        <v>24300</v>
      </c>
      <c r="P58" s="34">
        <v>26800</v>
      </c>
      <c r="Q58" s="9"/>
      <c r="R58" s="9"/>
      <c r="S58" s="9"/>
      <c r="T58" s="9"/>
      <c r="U58" s="9"/>
      <c r="V58" s="9"/>
      <c r="W58" s="9"/>
      <c r="X58" s="9"/>
      <c r="Y58" s="9"/>
      <c r="Z58" s="9"/>
      <c r="AA58" s="9"/>
      <c r="AB58" s="9"/>
      <c r="AC58" s="9"/>
      <c r="AD58" s="9"/>
      <c r="AE58" s="9"/>
      <c r="AF58" s="9"/>
    </row>
    <row r="59" spans="1:32" ht="15" hidden="1" customHeight="1" x14ac:dyDescent="0.25">
      <c r="A59" s="32">
        <v>45688</v>
      </c>
      <c r="B59" s="32">
        <v>45658</v>
      </c>
      <c r="C59" s="31">
        <v>2025</v>
      </c>
      <c r="D59" s="34">
        <v>6600</v>
      </c>
      <c r="E59" s="34">
        <v>10200</v>
      </c>
      <c r="F59" s="34">
        <v>12400</v>
      </c>
      <c r="G59" s="34">
        <v>17100</v>
      </c>
      <c r="H59" s="34">
        <v>18200</v>
      </c>
      <c r="I59" s="34">
        <v>19150</v>
      </c>
      <c r="J59" s="34">
        <v>21500</v>
      </c>
      <c r="K59" s="34">
        <v>27500</v>
      </c>
      <c r="L59" s="34">
        <v>32600</v>
      </c>
      <c r="M59" s="34">
        <v>34400</v>
      </c>
      <c r="N59" s="34">
        <v>35600</v>
      </c>
      <c r="O59" s="34">
        <v>39500</v>
      </c>
      <c r="P59" s="34">
        <v>43400</v>
      </c>
      <c r="Q59" s="9"/>
      <c r="R59" s="9"/>
      <c r="S59" s="9"/>
      <c r="T59" s="9"/>
      <c r="U59" s="9"/>
      <c r="V59" s="9"/>
      <c r="W59" s="9"/>
      <c r="X59" s="9"/>
      <c r="Y59" s="9"/>
      <c r="Z59" s="9"/>
      <c r="AA59" s="9"/>
      <c r="AB59" s="9"/>
      <c r="AC59" s="9"/>
      <c r="AD59" s="9"/>
      <c r="AE59" s="9"/>
      <c r="AF59" s="9"/>
    </row>
    <row r="60" spans="1:32" ht="27" hidden="1" customHeight="1" x14ac:dyDescent="0.25">
      <c r="A60" s="11"/>
      <c r="B60" s="11"/>
      <c r="C60" s="11"/>
      <c r="D60" s="12"/>
      <c r="E60" s="12"/>
      <c r="F60" s="12"/>
      <c r="G60" s="11"/>
      <c r="H60" s="11"/>
      <c r="I60" s="11"/>
      <c r="J60" s="11"/>
      <c r="K60" s="11"/>
      <c r="L60" s="11"/>
      <c r="M60" s="11"/>
      <c r="N60" s="11"/>
      <c r="O60" s="11"/>
      <c r="P60" s="11"/>
    </row>
    <row r="61" spans="1:32" ht="24" hidden="1" customHeight="1" x14ac:dyDescent="0.25">
      <c r="A61" s="94">
        <f t="shared" ref="A61:A73" ca="1" si="10">IF($D$34&gt;=C61,1,0)</f>
        <v>0</v>
      </c>
      <c r="B61" s="10" t="s">
        <v>44</v>
      </c>
      <c r="C61" s="95">
        <v>2040750000</v>
      </c>
      <c r="D61" s="94">
        <f t="array" aca="1" ref="D61" ca="1">MAX(IF(C28:O28&lt;15,C30:O30))</f>
        <v>25479090</v>
      </c>
      <c r="E61" s="13"/>
      <c r="F61" s="13"/>
    </row>
    <row r="62" spans="1:32" ht="15" hidden="1" customHeight="1" x14ac:dyDescent="0.25">
      <c r="A62" s="94">
        <f t="shared" ca="1" si="10"/>
        <v>0</v>
      </c>
      <c r="B62" s="10" t="s">
        <v>45</v>
      </c>
      <c r="C62" s="95">
        <v>1428525000</v>
      </c>
      <c r="D62" s="94"/>
    </row>
    <row r="63" spans="1:32" ht="15" hidden="1" customHeight="1" x14ac:dyDescent="0.25">
      <c r="A63" s="94">
        <f t="shared" ca="1" si="10"/>
        <v>0</v>
      </c>
      <c r="B63" s="10" t="s">
        <v>46</v>
      </c>
      <c r="C63" s="95">
        <v>1224450000</v>
      </c>
      <c r="D63" s="94"/>
    </row>
    <row r="64" spans="1:32" ht="15" hidden="1" customHeight="1" x14ac:dyDescent="0.25">
      <c r="A64" s="94">
        <f t="shared" ca="1" si="10"/>
        <v>0</v>
      </c>
      <c r="B64" s="10" t="s">
        <v>49</v>
      </c>
      <c r="C64" s="95">
        <v>1020375000</v>
      </c>
      <c r="D64" s="94"/>
    </row>
    <row r="65" spans="1:4" ht="15" hidden="1" customHeight="1" x14ac:dyDescent="0.25">
      <c r="A65" s="94">
        <f t="shared" ca="1" si="10"/>
        <v>0</v>
      </c>
      <c r="B65" s="10" t="s">
        <v>50</v>
      </c>
      <c r="C65" s="95">
        <v>850312500</v>
      </c>
      <c r="D65" s="94"/>
    </row>
    <row r="66" spans="1:4" ht="15" hidden="1" customHeight="1" x14ac:dyDescent="0.25">
      <c r="A66" s="94">
        <f t="shared" ca="1" si="10"/>
        <v>0</v>
      </c>
      <c r="B66" s="10" t="s">
        <v>51</v>
      </c>
      <c r="C66" s="95">
        <v>680250000</v>
      </c>
      <c r="D66" s="94"/>
    </row>
    <row r="67" spans="1:4" ht="15" hidden="1" customHeight="1" x14ac:dyDescent="0.25">
      <c r="A67" s="94">
        <f t="shared" ca="1" si="10"/>
        <v>0</v>
      </c>
      <c r="B67" s="10" t="s">
        <v>34</v>
      </c>
      <c r="C67" s="95">
        <v>510187500</v>
      </c>
      <c r="D67" s="94"/>
    </row>
    <row r="68" spans="1:4" ht="15" hidden="1" customHeight="1" x14ac:dyDescent="0.25">
      <c r="A68" s="94">
        <f t="shared" ca="1" si="10"/>
        <v>0</v>
      </c>
      <c r="B68" s="10" t="s">
        <v>1</v>
      </c>
      <c r="C68" s="95">
        <v>340125000</v>
      </c>
      <c r="D68" s="94"/>
    </row>
    <row r="69" spans="1:4" ht="15" hidden="1" customHeight="1" x14ac:dyDescent="0.25">
      <c r="A69" s="94">
        <f t="shared" ca="1" si="10"/>
        <v>0</v>
      </c>
      <c r="B69" s="10" t="s">
        <v>3</v>
      </c>
      <c r="C69" s="94">
        <v>204075000</v>
      </c>
      <c r="D69" s="94"/>
    </row>
    <row r="70" spans="1:4" ht="15" hidden="1" customHeight="1" x14ac:dyDescent="0.25">
      <c r="A70" s="94">
        <f t="shared" ca="1" si="10"/>
        <v>0</v>
      </c>
      <c r="B70" s="10" t="s">
        <v>6</v>
      </c>
      <c r="C70" s="94">
        <v>102037500</v>
      </c>
      <c r="D70" s="94"/>
    </row>
    <row r="71" spans="1:4" ht="15" hidden="1" customHeight="1" x14ac:dyDescent="0.25">
      <c r="A71" s="94">
        <f t="shared" ca="1" si="10"/>
        <v>0</v>
      </c>
      <c r="B71" s="10" t="s">
        <v>5</v>
      </c>
      <c r="C71" s="94">
        <v>86731875</v>
      </c>
      <c r="D71" s="94"/>
    </row>
    <row r="72" spans="1:4" ht="15" hidden="1" customHeight="1" x14ac:dyDescent="0.25">
      <c r="A72" s="94">
        <f t="shared" ca="1" si="10"/>
        <v>0</v>
      </c>
      <c r="B72" s="10" t="s">
        <v>9</v>
      </c>
      <c r="C72" s="94">
        <v>71426250</v>
      </c>
      <c r="D72" s="94"/>
    </row>
    <row r="73" spans="1:4" ht="15" hidden="1" customHeight="1" x14ac:dyDescent="0.25">
      <c r="A73" s="94">
        <f t="shared" ca="1" si="10"/>
        <v>0</v>
      </c>
      <c r="B73" s="10" t="s">
        <v>11</v>
      </c>
      <c r="C73" s="94">
        <v>51018750</v>
      </c>
      <c r="D73" s="94"/>
    </row>
    <row r="74" spans="1:4" ht="15" hidden="1" customHeight="1" x14ac:dyDescent="0.25">
      <c r="A74" s="94">
        <v>1</v>
      </c>
      <c r="B74" s="10" t="s">
        <v>254</v>
      </c>
    </row>
    <row r="75" spans="1:4" hidden="1" x14ac:dyDescent="0.25"/>
    <row r="76" spans="1:4" ht="15" hidden="1" customHeight="1" x14ac:dyDescent="0.25">
      <c r="A76" s="10" t="s">
        <v>69</v>
      </c>
      <c r="B76" s="10" t="s">
        <v>69</v>
      </c>
      <c r="C76" s="10" t="s">
        <v>69</v>
      </c>
    </row>
    <row r="77" spans="1:4" ht="15" hidden="1" customHeight="1" x14ac:dyDescent="0.25">
      <c r="A77" s="10" t="s">
        <v>69</v>
      </c>
      <c r="B77" s="10" t="s">
        <v>118</v>
      </c>
      <c r="C77" s="10" t="s">
        <v>69</v>
      </c>
    </row>
    <row r="78" spans="1:4" ht="15" hidden="1" customHeight="1" x14ac:dyDescent="0.25">
      <c r="A78" s="10" t="s">
        <v>69</v>
      </c>
      <c r="B78" s="10" t="s">
        <v>119</v>
      </c>
      <c r="C78" s="10" t="s">
        <v>69</v>
      </c>
    </row>
    <row r="79" spans="1:4" ht="15" hidden="1" customHeight="1" x14ac:dyDescent="0.25">
      <c r="A79" s="10" t="s">
        <v>69</v>
      </c>
      <c r="B79" s="10" t="s">
        <v>120</v>
      </c>
      <c r="C79" s="10" t="s">
        <v>69</v>
      </c>
    </row>
    <row r="80" spans="1:4" ht="15" hidden="1" customHeight="1" x14ac:dyDescent="0.25">
      <c r="A80" s="10" t="s">
        <v>69</v>
      </c>
      <c r="B80" s="10" t="s">
        <v>121</v>
      </c>
      <c r="C80" s="10" t="s">
        <v>69</v>
      </c>
    </row>
    <row r="81" spans="1:3" ht="15" hidden="1" customHeight="1" x14ac:dyDescent="0.25">
      <c r="A81" s="10" t="s">
        <v>69</v>
      </c>
      <c r="B81" s="10" t="s">
        <v>122</v>
      </c>
      <c r="C81" s="10" t="s">
        <v>69</v>
      </c>
    </row>
    <row r="82" spans="1:3" ht="15" hidden="1" customHeight="1" x14ac:dyDescent="0.25">
      <c r="A82" s="10" t="s">
        <v>70</v>
      </c>
      <c r="B82" s="10" t="s">
        <v>70</v>
      </c>
      <c r="C82" s="10" t="s">
        <v>70</v>
      </c>
    </row>
    <row r="83" spans="1:3" ht="15" hidden="1" customHeight="1" x14ac:dyDescent="0.25">
      <c r="A83" s="10" t="s">
        <v>70</v>
      </c>
      <c r="B83" s="10" t="s">
        <v>123</v>
      </c>
      <c r="C83" s="10" t="s">
        <v>70</v>
      </c>
    </row>
    <row r="84" spans="1:3" ht="15" hidden="1" customHeight="1" x14ac:dyDescent="0.25">
      <c r="A84" s="10" t="s">
        <v>70</v>
      </c>
      <c r="B84" s="10" t="s">
        <v>124</v>
      </c>
      <c r="C84" s="10" t="s">
        <v>70</v>
      </c>
    </row>
    <row r="85" spans="1:3" ht="15" hidden="1" customHeight="1" x14ac:dyDescent="0.25">
      <c r="A85" s="10" t="s">
        <v>70</v>
      </c>
      <c r="B85" s="10" t="s">
        <v>125</v>
      </c>
      <c r="C85" s="10" t="s">
        <v>70</v>
      </c>
    </row>
    <row r="86" spans="1:3" ht="15" hidden="1" customHeight="1" x14ac:dyDescent="0.25">
      <c r="A86" s="10" t="s">
        <v>70</v>
      </c>
      <c r="B86" s="10" t="s">
        <v>126</v>
      </c>
      <c r="C86" s="10" t="s">
        <v>70</v>
      </c>
    </row>
    <row r="87" spans="1:3" ht="15" hidden="1" customHeight="1" x14ac:dyDescent="0.25">
      <c r="A87" s="10" t="s">
        <v>70</v>
      </c>
      <c r="B87" s="10" t="s">
        <v>127</v>
      </c>
      <c r="C87" s="10" t="s">
        <v>70</v>
      </c>
    </row>
    <row r="88" spans="1:3" ht="15" hidden="1" customHeight="1" x14ac:dyDescent="0.25">
      <c r="A88" s="10" t="s">
        <v>71</v>
      </c>
      <c r="B88" s="10" t="s">
        <v>71</v>
      </c>
      <c r="C88" s="10" t="s">
        <v>71</v>
      </c>
    </row>
    <row r="89" spans="1:3" ht="15" hidden="1" customHeight="1" x14ac:dyDescent="0.25">
      <c r="A89" s="10" t="s">
        <v>71</v>
      </c>
      <c r="B89" s="10" t="s">
        <v>128</v>
      </c>
      <c r="C89" s="10" t="s">
        <v>71</v>
      </c>
    </row>
    <row r="90" spans="1:3" ht="15" hidden="1" customHeight="1" x14ac:dyDescent="0.25">
      <c r="A90" s="10" t="s">
        <v>71</v>
      </c>
      <c r="B90" s="10" t="s">
        <v>129</v>
      </c>
      <c r="C90" s="10" t="s">
        <v>71</v>
      </c>
    </row>
    <row r="91" spans="1:3" ht="15" hidden="1" customHeight="1" x14ac:dyDescent="0.25">
      <c r="A91" s="10" t="s">
        <v>71</v>
      </c>
      <c r="B91" s="10" t="s">
        <v>130</v>
      </c>
      <c r="C91" s="10" t="s">
        <v>71</v>
      </c>
    </row>
    <row r="92" spans="1:3" ht="15" hidden="1" customHeight="1" x14ac:dyDescent="0.25">
      <c r="A92" s="10" t="s">
        <v>71</v>
      </c>
      <c r="B92" s="10" t="s">
        <v>131</v>
      </c>
      <c r="C92" s="10" t="s">
        <v>71</v>
      </c>
    </row>
    <row r="93" spans="1:3" ht="15" hidden="1" customHeight="1" x14ac:dyDescent="0.25">
      <c r="A93" s="10" t="s">
        <v>71</v>
      </c>
      <c r="B93" s="10" t="s">
        <v>132</v>
      </c>
      <c r="C93" s="10" t="s">
        <v>71</v>
      </c>
    </row>
    <row r="94" spans="1:3" ht="15" hidden="1" customHeight="1" x14ac:dyDescent="0.25">
      <c r="A94" s="10" t="s">
        <v>71</v>
      </c>
      <c r="B94" s="10" t="s">
        <v>133</v>
      </c>
      <c r="C94" s="10" t="s">
        <v>71</v>
      </c>
    </row>
    <row r="95" spans="1:3" ht="15" hidden="1" customHeight="1" x14ac:dyDescent="0.25">
      <c r="A95" s="10" t="s">
        <v>72</v>
      </c>
      <c r="B95" s="10" t="s">
        <v>72</v>
      </c>
      <c r="C95" s="10" t="s">
        <v>72</v>
      </c>
    </row>
    <row r="96" spans="1:3" ht="15" hidden="1" customHeight="1" x14ac:dyDescent="0.25">
      <c r="A96" s="10" t="s">
        <v>72</v>
      </c>
      <c r="B96" s="10" t="s">
        <v>134</v>
      </c>
      <c r="C96" s="10" t="s">
        <v>72</v>
      </c>
    </row>
    <row r="97" spans="1:3" ht="15" hidden="1" customHeight="1" x14ac:dyDescent="0.25">
      <c r="A97" s="10" t="s">
        <v>72</v>
      </c>
      <c r="B97" s="10" t="s">
        <v>135</v>
      </c>
      <c r="C97" s="10" t="s">
        <v>72</v>
      </c>
    </row>
    <row r="98" spans="1:3" ht="15" hidden="1" customHeight="1" x14ac:dyDescent="0.25">
      <c r="A98" s="10" t="s">
        <v>72</v>
      </c>
      <c r="B98" s="10" t="s">
        <v>136</v>
      </c>
      <c r="C98" s="10" t="s">
        <v>72</v>
      </c>
    </row>
    <row r="99" spans="1:3" ht="15" hidden="1" customHeight="1" x14ac:dyDescent="0.25">
      <c r="A99" s="10" t="s">
        <v>72</v>
      </c>
      <c r="B99" s="10" t="s">
        <v>137</v>
      </c>
      <c r="C99" s="10" t="s">
        <v>72</v>
      </c>
    </row>
    <row r="100" spans="1:3" ht="15" hidden="1" customHeight="1" x14ac:dyDescent="0.25">
      <c r="A100" s="10" t="s">
        <v>72</v>
      </c>
      <c r="B100" s="10" t="s">
        <v>231</v>
      </c>
      <c r="C100" s="10" t="s">
        <v>72</v>
      </c>
    </row>
    <row r="101" spans="1:3" ht="15" hidden="1" customHeight="1" x14ac:dyDescent="0.25">
      <c r="A101" s="10" t="s">
        <v>72</v>
      </c>
      <c r="B101" s="10" t="s">
        <v>138</v>
      </c>
      <c r="C101" s="10" t="s">
        <v>72</v>
      </c>
    </row>
    <row r="102" spans="1:3" ht="15" hidden="1" customHeight="1" x14ac:dyDescent="0.25">
      <c r="A102" s="10" t="s">
        <v>72</v>
      </c>
      <c r="B102" s="10" t="s">
        <v>139</v>
      </c>
      <c r="C102" s="10" t="s">
        <v>72</v>
      </c>
    </row>
    <row r="103" spans="1:3" ht="15" hidden="1" customHeight="1" x14ac:dyDescent="0.25">
      <c r="A103" s="10" t="s">
        <v>72</v>
      </c>
      <c r="B103" s="10" t="s">
        <v>140</v>
      </c>
      <c r="C103" s="10" t="s">
        <v>72</v>
      </c>
    </row>
    <row r="104" spans="1:3" ht="15" hidden="1" customHeight="1" x14ac:dyDescent="0.25">
      <c r="A104" s="10" t="s">
        <v>72</v>
      </c>
      <c r="B104" s="10" t="s">
        <v>141</v>
      </c>
      <c r="C104" s="10" t="s">
        <v>72</v>
      </c>
    </row>
    <row r="105" spans="1:3" ht="15" hidden="1" customHeight="1" x14ac:dyDescent="0.25">
      <c r="A105" s="10" t="s">
        <v>72</v>
      </c>
      <c r="B105" s="10" t="s">
        <v>142</v>
      </c>
      <c r="C105" s="10" t="s">
        <v>72</v>
      </c>
    </row>
    <row r="106" spans="1:3" hidden="1" x14ac:dyDescent="0.25">
      <c r="A106" s="10" t="s">
        <v>72</v>
      </c>
      <c r="B106" s="10" t="s">
        <v>143</v>
      </c>
      <c r="C106" s="10" t="s">
        <v>72</v>
      </c>
    </row>
    <row r="107" spans="1:3" hidden="1" x14ac:dyDescent="0.25">
      <c r="A107" s="10" t="s">
        <v>72</v>
      </c>
      <c r="B107" s="10" t="s">
        <v>144</v>
      </c>
      <c r="C107" s="10" t="s">
        <v>72</v>
      </c>
    </row>
    <row r="108" spans="1:3" hidden="1" x14ac:dyDescent="0.25">
      <c r="A108" s="10" t="s">
        <v>72</v>
      </c>
      <c r="B108" s="10" t="s">
        <v>145</v>
      </c>
      <c r="C108" s="10" t="s">
        <v>72</v>
      </c>
    </row>
    <row r="109" spans="1:3" hidden="1" x14ac:dyDescent="0.25">
      <c r="A109" s="10" t="s">
        <v>72</v>
      </c>
      <c r="B109" s="10" t="s">
        <v>146</v>
      </c>
      <c r="C109" s="10" t="s">
        <v>72</v>
      </c>
    </row>
    <row r="110" spans="1:3" hidden="1" x14ac:dyDescent="0.25">
      <c r="A110" s="10" t="s">
        <v>72</v>
      </c>
      <c r="B110" s="10" t="s">
        <v>147</v>
      </c>
      <c r="C110" s="10" t="s">
        <v>72</v>
      </c>
    </row>
    <row r="111" spans="1:3" hidden="1" x14ac:dyDescent="0.25">
      <c r="A111" s="10" t="s">
        <v>73</v>
      </c>
      <c r="B111" s="10" t="s">
        <v>73</v>
      </c>
      <c r="C111" s="10" t="s">
        <v>73</v>
      </c>
    </row>
    <row r="112" spans="1:3" hidden="1" x14ac:dyDescent="0.25">
      <c r="A112" s="10" t="s">
        <v>73</v>
      </c>
      <c r="B112" s="10" t="s">
        <v>148</v>
      </c>
      <c r="C112" s="10" t="s">
        <v>73</v>
      </c>
    </row>
    <row r="113" spans="1:3" hidden="1" x14ac:dyDescent="0.25">
      <c r="A113" s="10" t="s">
        <v>73</v>
      </c>
      <c r="B113" s="10" t="s">
        <v>149</v>
      </c>
      <c r="C113" s="10" t="s">
        <v>73</v>
      </c>
    </row>
    <row r="114" spans="1:3" hidden="1" x14ac:dyDescent="0.25">
      <c r="A114" s="10" t="s">
        <v>73</v>
      </c>
      <c r="B114" s="10" t="s">
        <v>150</v>
      </c>
      <c r="C114" s="10" t="s">
        <v>73</v>
      </c>
    </row>
    <row r="115" spans="1:3" hidden="1" x14ac:dyDescent="0.25">
      <c r="A115" s="10" t="s">
        <v>73</v>
      </c>
      <c r="B115" s="10" t="s">
        <v>151</v>
      </c>
      <c r="C115" s="10" t="s">
        <v>73</v>
      </c>
    </row>
    <row r="116" spans="1:3" hidden="1" x14ac:dyDescent="0.25">
      <c r="A116" s="10" t="s">
        <v>73</v>
      </c>
      <c r="B116" s="10" t="s">
        <v>152</v>
      </c>
      <c r="C116" s="10" t="s">
        <v>73</v>
      </c>
    </row>
    <row r="117" spans="1:3" hidden="1" x14ac:dyDescent="0.25">
      <c r="A117" s="10" t="s">
        <v>73</v>
      </c>
      <c r="B117" s="10" t="s">
        <v>153</v>
      </c>
      <c r="C117" s="10" t="s">
        <v>73</v>
      </c>
    </row>
    <row r="118" spans="1:3" hidden="1" x14ac:dyDescent="0.25">
      <c r="A118" s="10" t="s">
        <v>73</v>
      </c>
      <c r="B118" s="10" t="s">
        <v>154</v>
      </c>
      <c r="C118" s="10" t="s">
        <v>73</v>
      </c>
    </row>
    <row r="119" spans="1:3" hidden="1" x14ac:dyDescent="0.25">
      <c r="A119" s="10" t="s">
        <v>73</v>
      </c>
      <c r="B119" s="10" t="s">
        <v>155</v>
      </c>
      <c r="C119" s="10" t="s">
        <v>73</v>
      </c>
    </row>
    <row r="120" spans="1:3" hidden="1" x14ac:dyDescent="0.25">
      <c r="A120" s="10" t="s">
        <v>73</v>
      </c>
      <c r="B120" s="10" t="s">
        <v>156</v>
      </c>
      <c r="C120" s="10" t="s">
        <v>73</v>
      </c>
    </row>
    <row r="121" spans="1:3" hidden="1" x14ac:dyDescent="0.25">
      <c r="A121" s="10" t="s">
        <v>73</v>
      </c>
      <c r="B121" s="10" t="s">
        <v>157</v>
      </c>
      <c r="C121" s="10" t="s">
        <v>73</v>
      </c>
    </row>
    <row r="122" spans="1:3" hidden="1" x14ac:dyDescent="0.25">
      <c r="A122" s="10" t="s">
        <v>73</v>
      </c>
      <c r="B122" s="10" t="s">
        <v>158</v>
      </c>
      <c r="C122" s="10" t="s">
        <v>73</v>
      </c>
    </row>
    <row r="123" spans="1:3" hidden="1" x14ac:dyDescent="0.25">
      <c r="A123" s="10" t="s">
        <v>73</v>
      </c>
      <c r="B123" s="10" t="s">
        <v>232</v>
      </c>
      <c r="C123" s="10" t="s">
        <v>73</v>
      </c>
    </row>
    <row r="124" spans="1:3" hidden="1" x14ac:dyDescent="0.25">
      <c r="A124" s="10" t="s">
        <v>73</v>
      </c>
      <c r="B124" s="10" t="s">
        <v>159</v>
      </c>
      <c r="C124" s="10" t="s">
        <v>73</v>
      </c>
    </row>
    <row r="125" spans="1:3" hidden="1" x14ac:dyDescent="0.25">
      <c r="A125" s="10" t="s">
        <v>73</v>
      </c>
      <c r="B125" s="10" t="s">
        <v>160</v>
      </c>
      <c r="C125" s="10" t="s">
        <v>73</v>
      </c>
    </row>
    <row r="126" spans="1:3" hidden="1" x14ac:dyDescent="0.25">
      <c r="A126" s="10" t="s">
        <v>73</v>
      </c>
      <c r="B126" s="10" t="s">
        <v>233</v>
      </c>
      <c r="C126" s="10" t="s">
        <v>73</v>
      </c>
    </row>
    <row r="127" spans="1:3" hidden="1" x14ac:dyDescent="0.25">
      <c r="A127" s="10" t="s">
        <v>73</v>
      </c>
      <c r="B127" s="10" t="s">
        <v>161</v>
      </c>
      <c r="C127" s="10" t="s">
        <v>73</v>
      </c>
    </row>
    <row r="128" spans="1:3" hidden="1" x14ac:dyDescent="0.25">
      <c r="A128" s="10" t="s">
        <v>73</v>
      </c>
      <c r="B128" s="10" t="s">
        <v>162</v>
      </c>
      <c r="C128" s="10" t="s">
        <v>73</v>
      </c>
    </row>
    <row r="129" spans="1:3" hidden="1" x14ac:dyDescent="0.25">
      <c r="A129" s="10" t="s">
        <v>106</v>
      </c>
      <c r="B129" s="10" t="s">
        <v>106</v>
      </c>
      <c r="C129" s="10" t="s">
        <v>106</v>
      </c>
    </row>
    <row r="130" spans="1:3" hidden="1" x14ac:dyDescent="0.25">
      <c r="A130" s="10" t="s">
        <v>106</v>
      </c>
      <c r="B130" s="10" t="s">
        <v>163</v>
      </c>
      <c r="C130" s="10" t="s">
        <v>106</v>
      </c>
    </row>
    <row r="131" spans="1:3" hidden="1" x14ac:dyDescent="0.25">
      <c r="A131" s="10" t="s">
        <v>106</v>
      </c>
      <c r="B131" s="10" t="s">
        <v>164</v>
      </c>
      <c r="C131" s="10" t="s">
        <v>106</v>
      </c>
    </row>
    <row r="132" spans="1:3" hidden="1" x14ac:dyDescent="0.25">
      <c r="A132" s="10" t="s">
        <v>106</v>
      </c>
      <c r="B132" s="10" t="s">
        <v>165</v>
      </c>
      <c r="C132" s="10" t="s">
        <v>106</v>
      </c>
    </row>
    <row r="133" spans="1:3" hidden="1" x14ac:dyDescent="0.25">
      <c r="A133" s="10" t="s">
        <v>106</v>
      </c>
      <c r="B133" s="10" t="s">
        <v>166</v>
      </c>
      <c r="C133" s="10" t="s">
        <v>106</v>
      </c>
    </row>
    <row r="134" spans="1:3" hidden="1" x14ac:dyDescent="0.25">
      <c r="A134" s="10" t="s">
        <v>106</v>
      </c>
      <c r="B134" s="10" t="s">
        <v>167</v>
      </c>
      <c r="C134" s="10" t="s">
        <v>106</v>
      </c>
    </row>
    <row r="135" spans="1:3" hidden="1" x14ac:dyDescent="0.25">
      <c r="A135" s="10" t="s">
        <v>106</v>
      </c>
      <c r="B135" s="10" t="s">
        <v>234</v>
      </c>
      <c r="C135" s="10" t="s">
        <v>106</v>
      </c>
    </row>
    <row r="136" spans="1:3" hidden="1" x14ac:dyDescent="0.25">
      <c r="A136" s="10" t="s">
        <v>106</v>
      </c>
      <c r="B136" s="10" t="s">
        <v>168</v>
      </c>
      <c r="C136" s="10" t="s">
        <v>106</v>
      </c>
    </row>
    <row r="137" spans="1:3" hidden="1" x14ac:dyDescent="0.25">
      <c r="A137" s="10" t="s">
        <v>106</v>
      </c>
      <c r="B137" s="10" t="s">
        <v>235</v>
      </c>
      <c r="C137" s="10" t="s">
        <v>106</v>
      </c>
    </row>
    <row r="138" spans="1:3" hidden="1" x14ac:dyDescent="0.25">
      <c r="A138" s="10" t="s">
        <v>106</v>
      </c>
      <c r="B138" s="10" t="s">
        <v>169</v>
      </c>
      <c r="C138" s="10" t="s">
        <v>106</v>
      </c>
    </row>
    <row r="139" spans="1:3" hidden="1" x14ac:dyDescent="0.25">
      <c r="A139" s="10" t="s">
        <v>106</v>
      </c>
      <c r="B139" s="10" t="s">
        <v>236</v>
      </c>
      <c r="C139" s="10" t="s">
        <v>106</v>
      </c>
    </row>
    <row r="140" spans="1:3" hidden="1" x14ac:dyDescent="0.25">
      <c r="A140" s="10" t="s">
        <v>106</v>
      </c>
      <c r="B140" s="10" t="s">
        <v>170</v>
      </c>
      <c r="C140" s="10" t="s">
        <v>106</v>
      </c>
    </row>
    <row r="141" spans="1:3" hidden="1" x14ac:dyDescent="0.25">
      <c r="A141" s="10" t="s">
        <v>106</v>
      </c>
      <c r="B141" s="10" t="s">
        <v>171</v>
      </c>
      <c r="C141" s="10" t="s">
        <v>106</v>
      </c>
    </row>
    <row r="142" spans="1:3" hidden="1" x14ac:dyDescent="0.25">
      <c r="A142" s="10" t="s">
        <v>106</v>
      </c>
      <c r="B142" s="10" t="s">
        <v>172</v>
      </c>
      <c r="C142" s="10" t="s">
        <v>106</v>
      </c>
    </row>
    <row r="143" spans="1:3" hidden="1" x14ac:dyDescent="0.25">
      <c r="A143" s="10" t="s">
        <v>74</v>
      </c>
      <c r="B143" s="10" t="s">
        <v>74</v>
      </c>
      <c r="C143" s="10" t="s">
        <v>74</v>
      </c>
    </row>
    <row r="144" spans="1:3" hidden="1" x14ac:dyDescent="0.25">
      <c r="A144" s="10" t="s">
        <v>74</v>
      </c>
      <c r="B144" s="10" t="s">
        <v>173</v>
      </c>
      <c r="C144" s="10" t="s">
        <v>74</v>
      </c>
    </row>
    <row r="145" spans="1:3" hidden="1" x14ac:dyDescent="0.25">
      <c r="A145" s="10" t="s">
        <v>74</v>
      </c>
      <c r="B145" s="10" t="s">
        <v>174</v>
      </c>
      <c r="C145" s="10" t="s">
        <v>74</v>
      </c>
    </row>
    <row r="146" spans="1:3" hidden="1" x14ac:dyDescent="0.25">
      <c r="A146" s="10" t="s">
        <v>74</v>
      </c>
      <c r="B146" s="10" t="s">
        <v>175</v>
      </c>
      <c r="C146" s="10" t="s">
        <v>74</v>
      </c>
    </row>
    <row r="147" spans="1:3" hidden="1" x14ac:dyDescent="0.25">
      <c r="A147" s="10" t="s">
        <v>74</v>
      </c>
      <c r="B147" s="10" t="s">
        <v>176</v>
      </c>
      <c r="C147" s="10" t="s">
        <v>74</v>
      </c>
    </row>
    <row r="148" spans="1:3" hidden="1" x14ac:dyDescent="0.25">
      <c r="A148" s="10" t="s">
        <v>74</v>
      </c>
      <c r="B148" s="10" t="s">
        <v>177</v>
      </c>
      <c r="C148" s="10" t="s">
        <v>74</v>
      </c>
    </row>
    <row r="149" spans="1:3" hidden="1" x14ac:dyDescent="0.25">
      <c r="A149" s="10" t="s">
        <v>74</v>
      </c>
      <c r="B149" s="10" t="s">
        <v>178</v>
      </c>
      <c r="C149" s="10" t="s">
        <v>74</v>
      </c>
    </row>
    <row r="150" spans="1:3" hidden="1" x14ac:dyDescent="0.25">
      <c r="A150" s="10" t="s">
        <v>74</v>
      </c>
      <c r="B150" s="10" t="s">
        <v>179</v>
      </c>
      <c r="C150" s="10" t="s">
        <v>74</v>
      </c>
    </row>
    <row r="151" spans="1:3" hidden="1" x14ac:dyDescent="0.25">
      <c r="A151" s="10" t="s">
        <v>74</v>
      </c>
      <c r="B151" s="10" t="s">
        <v>180</v>
      </c>
      <c r="C151" s="10" t="s">
        <v>74</v>
      </c>
    </row>
    <row r="152" spans="1:3" hidden="1" x14ac:dyDescent="0.25">
      <c r="A152" s="10" t="s">
        <v>74</v>
      </c>
      <c r="B152" s="10" t="s">
        <v>237</v>
      </c>
      <c r="C152" s="10" t="s">
        <v>74</v>
      </c>
    </row>
    <row r="153" spans="1:3" hidden="1" x14ac:dyDescent="0.25">
      <c r="A153" s="10" t="s">
        <v>74</v>
      </c>
      <c r="B153" s="10" t="s">
        <v>238</v>
      </c>
      <c r="C153" s="10" t="s">
        <v>74</v>
      </c>
    </row>
    <row r="154" spans="1:3" hidden="1" x14ac:dyDescent="0.25">
      <c r="A154" s="10" t="s">
        <v>74</v>
      </c>
      <c r="B154" s="10" t="s">
        <v>181</v>
      </c>
      <c r="C154" s="10" t="s">
        <v>74</v>
      </c>
    </row>
    <row r="155" spans="1:3" hidden="1" x14ac:dyDescent="0.25">
      <c r="A155" s="10" t="s">
        <v>74</v>
      </c>
      <c r="B155" s="10" t="s">
        <v>239</v>
      </c>
      <c r="C155" s="10" t="s">
        <v>74</v>
      </c>
    </row>
    <row r="156" spans="1:3" hidden="1" x14ac:dyDescent="0.25">
      <c r="A156" s="10" t="s">
        <v>74</v>
      </c>
      <c r="B156" s="10" t="s">
        <v>182</v>
      </c>
      <c r="C156" s="10" t="s">
        <v>74</v>
      </c>
    </row>
    <row r="157" spans="1:3" hidden="1" x14ac:dyDescent="0.25">
      <c r="A157" s="10" t="s">
        <v>74</v>
      </c>
      <c r="B157" s="10" t="s">
        <v>183</v>
      </c>
      <c r="C157" s="10" t="s">
        <v>74</v>
      </c>
    </row>
    <row r="158" spans="1:3" hidden="1" x14ac:dyDescent="0.25">
      <c r="A158" s="10" t="s">
        <v>74</v>
      </c>
      <c r="B158" s="10" t="s">
        <v>184</v>
      </c>
      <c r="C158" s="10" t="s">
        <v>74</v>
      </c>
    </row>
    <row r="159" spans="1:3" hidden="1" x14ac:dyDescent="0.25">
      <c r="A159" s="10" t="s">
        <v>74</v>
      </c>
      <c r="B159" s="10" t="s">
        <v>185</v>
      </c>
      <c r="C159" s="10" t="s">
        <v>74</v>
      </c>
    </row>
    <row r="160" spans="1:3" hidden="1" x14ac:dyDescent="0.25">
      <c r="A160" s="10" t="s">
        <v>74</v>
      </c>
      <c r="B160" s="10" t="s">
        <v>186</v>
      </c>
      <c r="C160" s="10" t="s">
        <v>74</v>
      </c>
    </row>
    <row r="161" spans="1:3" hidden="1" x14ac:dyDescent="0.25">
      <c r="A161" s="10" t="s">
        <v>74</v>
      </c>
      <c r="B161" s="10" t="s">
        <v>187</v>
      </c>
      <c r="C161" s="10" t="s">
        <v>74</v>
      </c>
    </row>
    <row r="162" spans="1:3" hidden="1" x14ac:dyDescent="0.25">
      <c r="A162" s="10" t="s">
        <v>74</v>
      </c>
      <c r="B162" s="10" t="s">
        <v>188</v>
      </c>
      <c r="C162" s="10" t="s">
        <v>74</v>
      </c>
    </row>
    <row r="163" spans="1:3" hidden="1" x14ac:dyDescent="0.25">
      <c r="A163" s="10" t="s">
        <v>75</v>
      </c>
      <c r="B163" s="10" t="s">
        <v>75</v>
      </c>
      <c r="C163" s="10" t="s">
        <v>75</v>
      </c>
    </row>
    <row r="164" spans="1:3" hidden="1" x14ac:dyDescent="0.25">
      <c r="A164" s="10" t="s">
        <v>75</v>
      </c>
      <c r="B164" s="10" t="s">
        <v>189</v>
      </c>
      <c r="C164" s="10" t="s">
        <v>75</v>
      </c>
    </row>
    <row r="165" spans="1:3" hidden="1" x14ac:dyDescent="0.25">
      <c r="A165" s="10" t="s">
        <v>75</v>
      </c>
      <c r="B165" s="10" t="s">
        <v>190</v>
      </c>
      <c r="C165" s="10" t="s">
        <v>75</v>
      </c>
    </row>
    <row r="166" spans="1:3" hidden="1" x14ac:dyDescent="0.25">
      <c r="A166" s="10" t="s">
        <v>75</v>
      </c>
      <c r="B166" s="10" t="s">
        <v>191</v>
      </c>
      <c r="C166" s="10" t="s">
        <v>75</v>
      </c>
    </row>
    <row r="167" spans="1:3" hidden="1" x14ac:dyDescent="0.25">
      <c r="A167" s="10" t="s">
        <v>75</v>
      </c>
      <c r="B167" s="10" t="s">
        <v>192</v>
      </c>
      <c r="C167" s="10" t="s">
        <v>75</v>
      </c>
    </row>
    <row r="168" spans="1:3" hidden="1" x14ac:dyDescent="0.25">
      <c r="A168" s="10" t="s">
        <v>75</v>
      </c>
      <c r="B168" s="10" t="s">
        <v>193</v>
      </c>
      <c r="C168" s="10" t="s">
        <v>75</v>
      </c>
    </row>
    <row r="169" spans="1:3" hidden="1" x14ac:dyDescent="0.25">
      <c r="A169" s="10" t="s">
        <v>75</v>
      </c>
      <c r="B169" s="10" t="s">
        <v>240</v>
      </c>
      <c r="C169" s="10" t="s">
        <v>75</v>
      </c>
    </row>
    <row r="170" spans="1:3" hidden="1" x14ac:dyDescent="0.25">
      <c r="A170" s="10" t="s">
        <v>75</v>
      </c>
      <c r="B170" s="10" t="s">
        <v>241</v>
      </c>
      <c r="C170" s="10" t="s">
        <v>75</v>
      </c>
    </row>
    <row r="171" spans="1:3" hidden="1" x14ac:dyDescent="0.25">
      <c r="A171" s="10" t="s">
        <v>75</v>
      </c>
      <c r="B171" s="10" t="s">
        <v>194</v>
      </c>
      <c r="C171" s="10" t="s">
        <v>75</v>
      </c>
    </row>
    <row r="172" spans="1:3" hidden="1" x14ac:dyDescent="0.25">
      <c r="A172" s="10" t="s">
        <v>75</v>
      </c>
      <c r="B172" s="10" t="s">
        <v>195</v>
      </c>
      <c r="C172" s="10" t="s">
        <v>75</v>
      </c>
    </row>
    <row r="173" spans="1:3" hidden="1" x14ac:dyDescent="0.25">
      <c r="A173" s="10" t="s">
        <v>75</v>
      </c>
      <c r="B173" s="10" t="s">
        <v>242</v>
      </c>
      <c r="C173" s="10" t="s">
        <v>75</v>
      </c>
    </row>
    <row r="174" spans="1:3" hidden="1" x14ac:dyDescent="0.25">
      <c r="A174" s="10" t="s">
        <v>75</v>
      </c>
      <c r="B174" s="10" t="s">
        <v>243</v>
      </c>
      <c r="C174" s="10" t="s">
        <v>75</v>
      </c>
    </row>
    <row r="175" spans="1:3" hidden="1" x14ac:dyDescent="0.25">
      <c r="A175" s="10" t="s">
        <v>75</v>
      </c>
      <c r="B175" s="10" t="s">
        <v>196</v>
      </c>
      <c r="C175" s="10" t="s">
        <v>75</v>
      </c>
    </row>
    <row r="176" spans="1:3" hidden="1" x14ac:dyDescent="0.25">
      <c r="A176" s="10" t="s">
        <v>75</v>
      </c>
      <c r="B176" s="10" t="s">
        <v>197</v>
      </c>
      <c r="C176" s="10" t="s">
        <v>75</v>
      </c>
    </row>
    <row r="177" spans="1:3" hidden="1" x14ac:dyDescent="0.25">
      <c r="A177" s="10" t="s">
        <v>75</v>
      </c>
      <c r="B177" s="10" t="s">
        <v>198</v>
      </c>
      <c r="C177" s="10" t="s">
        <v>75</v>
      </c>
    </row>
    <row r="178" spans="1:3" hidden="1" x14ac:dyDescent="0.25">
      <c r="A178" s="10" t="s">
        <v>76</v>
      </c>
      <c r="B178" s="10" t="s">
        <v>76</v>
      </c>
      <c r="C178" s="10" t="s">
        <v>76</v>
      </c>
    </row>
    <row r="179" spans="1:3" hidden="1" x14ac:dyDescent="0.25">
      <c r="A179" s="10" t="s">
        <v>76</v>
      </c>
      <c r="B179" s="10" t="s">
        <v>199</v>
      </c>
      <c r="C179" s="10" t="s">
        <v>76</v>
      </c>
    </row>
    <row r="180" spans="1:3" hidden="1" x14ac:dyDescent="0.25">
      <c r="A180" s="10" t="s">
        <v>76</v>
      </c>
      <c r="B180" s="10" t="s">
        <v>200</v>
      </c>
      <c r="C180" s="10" t="s">
        <v>76</v>
      </c>
    </row>
    <row r="181" spans="1:3" hidden="1" x14ac:dyDescent="0.25">
      <c r="A181" s="10" t="s">
        <v>76</v>
      </c>
      <c r="B181" s="10" t="s">
        <v>201</v>
      </c>
      <c r="C181" s="10" t="s">
        <v>76</v>
      </c>
    </row>
    <row r="182" spans="1:3" hidden="1" x14ac:dyDescent="0.25">
      <c r="A182" s="10" t="s">
        <v>76</v>
      </c>
      <c r="B182" s="10" t="s">
        <v>202</v>
      </c>
      <c r="C182" s="10" t="s">
        <v>76</v>
      </c>
    </row>
    <row r="183" spans="1:3" hidden="1" x14ac:dyDescent="0.25">
      <c r="A183" s="10" t="s">
        <v>76</v>
      </c>
      <c r="B183" s="10" t="s">
        <v>203</v>
      </c>
      <c r="C183" s="10" t="s">
        <v>76</v>
      </c>
    </row>
    <row r="184" spans="1:3" hidden="1" x14ac:dyDescent="0.25">
      <c r="A184" s="10" t="s">
        <v>76</v>
      </c>
      <c r="B184" s="10" t="s">
        <v>204</v>
      </c>
      <c r="C184" s="10" t="s">
        <v>76</v>
      </c>
    </row>
    <row r="185" spans="1:3" hidden="1" x14ac:dyDescent="0.25">
      <c r="A185" s="10" t="s">
        <v>76</v>
      </c>
      <c r="B185" s="10" t="s">
        <v>205</v>
      </c>
      <c r="C185" s="10" t="s">
        <v>76</v>
      </c>
    </row>
    <row r="186" spans="1:3" hidden="1" x14ac:dyDescent="0.25">
      <c r="A186" s="10" t="s">
        <v>76</v>
      </c>
      <c r="B186" s="10" t="s">
        <v>206</v>
      </c>
      <c r="C186" s="10" t="s">
        <v>76</v>
      </c>
    </row>
    <row r="187" spans="1:3" hidden="1" x14ac:dyDescent="0.25">
      <c r="A187" s="10" t="s">
        <v>76</v>
      </c>
      <c r="B187" s="10" t="s">
        <v>207</v>
      </c>
      <c r="C187" s="10" t="s">
        <v>76</v>
      </c>
    </row>
    <row r="188" spans="1:3" hidden="1" x14ac:dyDescent="0.25">
      <c r="A188" s="10" t="s">
        <v>76</v>
      </c>
      <c r="B188" s="10" t="s">
        <v>208</v>
      </c>
      <c r="C188" s="10" t="s">
        <v>76</v>
      </c>
    </row>
    <row r="189" spans="1:3" hidden="1" x14ac:dyDescent="0.25">
      <c r="A189" s="10" t="s">
        <v>76</v>
      </c>
      <c r="B189" s="10" t="s">
        <v>209</v>
      </c>
      <c r="C189" s="10" t="s">
        <v>76</v>
      </c>
    </row>
    <row r="190" spans="1:3" hidden="1" x14ac:dyDescent="0.25">
      <c r="A190" s="10" t="s">
        <v>76</v>
      </c>
      <c r="B190" s="10" t="s">
        <v>210</v>
      </c>
      <c r="C190" s="10" t="s">
        <v>76</v>
      </c>
    </row>
    <row r="191" spans="1:3" hidden="1" x14ac:dyDescent="0.25">
      <c r="A191" s="10" t="s">
        <v>76</v>
      </c>
      <c r="B191" s="10" t="s">
        <v>211</v>
      </c>
      <c r="C191" s="10" t="s">
        <v>76</v>
      </c>
    </row>
    <row r="192" spans="1:3" hidden="1" x14ac:dyDescent="0.25">
      <c r="A192" s="10" t="s">
        <v>76</v>
      </c>
      <c r="B192" s="10" t="s">
        <v>212</v>
      </c>
      <c r="C192" s="10" t="s">
        <v>76</v>
      </c>
    </row>
    <row r="193" spans="1:3" hidden="1" x14ac:dyDescent="0.25">
      <c r="A193" s="10" t="s">
        <v>77</v>
      </c>
      <c r="B193" s="10" t="s">
        <v>77</v>
      </c>
      <c r="C193" s="10" t="s">
        <v>77</v>
      </c>
    </row>
    <row r="194" spans="1:3" hidden="1" x14ac:dyDescent="0.25">
      <c r="A194" s="10" t="s">
        <v>77</v>
      </c>
      <c r="B194" s="10" t="s">
        <v>213</v>
      </c>
      <c r="C194" s="10" t="s">
        <v>77</v>
      </c>
    </row>
    <row r="195" spans="1:3" hidden="1" x14ac:dyDescent="0.25">
      <c r="A195" s="10" t="s">
        <v>77</v>
      </c>
      <c r="B195" s="10" t="s">
        <v>214</v>
      </c>
      <c r="C195" s="10" t="s">
        <v>77</v>
      </c>
    </row>
    <row r="196" spans="1:3" hidden="1" x14ac:dyDescent="0.25">
      <c r="A196" s="10" t="s">
        <v>77</v>
      </c>
      <c r="B196" s="10" t="s">
        <v>215</v>
      </c>
      <c r="C196" s="10" t="s">
        <v>77</v>
      </c>
    </row>
    <row r="197" spans="1:3" hidden="1" x14ac:dyDescent="0.25">
      <c r="A197" s="10" t="s">
        <v>77</v>
      </c>
      <c r="B197" s="10" t="s">
        <v>244</v>
      </c>
      <c r="C197" s="10" t="s">
        <v>77</v>
      </c>
    </row>
    <row r="198" spans="1:3" hidden="1" x14ac:dyDescent="0.25">
      <c r="A198" s="10" t="s">
        <v>77</v>
      </c>
      <c r="B198" s="10" t="s">
        <v>216</v>
      </c>
      <c r="C198" s="10" t="s">
        <v>77</v>
      </c>
    </row>
    <row r="199" spans="1:3" hidden="1" x14ac:dyDescent="0.25">
      <c r="A199" s="10" t="s">
        <v>77</v>
      </c>
      <c r="B199" s="10" t="s">
        <v>217</v>
      </c>
      <c r="C199" s="10" t="s">
        <v>77</v>
      </c>
    </row>
    <row r="200" spans="1:3" hidden="1" x14ac:dyDescent="0.25">
      <c r="A200" s="10" t="s">
        <v>78</v>
      </c>
      <c r="B200" s="10" t="s">
        <v>78</v>
      </c>
      <c r="C200" s="10" t="s">
        <v>78</v>
      </c>
    </row>
    <row r="201" spans="1:3" hidden="1" x14ac:dyDescent="0.25">
      <c r="A201" s="10" t="s">
        <v>78</v>
      </c>
      <c r="B201" s="10" t="s">
        <v>218</v>
      </c>
      <c r="C201" s="10" t="s">
        <v>78</v>
      </c>
    </row>
    <row r="202" spans="1:3" hidden="1" x14ac:dyDescent="0.25">
      <c r="A202" s="10" t="s">
        <v>78</v>
      </c>
      <c r="B202" s="10" t="s">
        <v>245</v>
      </c>
      <c r="C202" s="10" t="s">
        <v>78</v>
      </c>
    </row>
    <row r="203" spans="1:3" hidden="1" x14ac:dyDescent="0.25">
      <c r="A203" s="10" t="s">
        <v>78</v>
      </c>
      <c r="B203" s="10" t="s">
        <v>219</v>
      </c>
      <c r="C203" s="10" t="s">
        <v>78</v>
      </c>
    </row>
    <row r="204" spans="1:3" hidden="1" x14ac:dyDescent="0.25">
      <c r="A204" s="10" t="s">
        <v>78</v>
      </c>
      <c r="B204" s="10" t="s">
        <v>220</v>
      </c>
      <c r="C204" s="10" t="s">
        <v>78</v>
      </c>
    </row>
    <row r="205" spans="1:3" hidden="1" x14ac:dyDescent="0.25">
      <c r="A205" s="10" t="s">
        <v>78</v>
      </c>
      <c r="B205" s="10" t="s">
        <v>221</v>
      </c>
      <c r="C205" s="10" t="s">
        <v>78</v>
      </c>
    </row>
    <row r="206" spans="1:3" hidden="1" x14ac:dyDescent="0.25">
      <c r="A206" s="10" t="s">
        <v>79</v>
      </c>
      <c r="B206" s="10" t="s">
        <v>79</v>
      </c>
      <c r="C206" s="10" t="s">
        <v>79</v>
      </c>
    </row>
    <row r="207" spans="1:3" hidden="1" x14ac:dyDescent="0.25">
      <c r="A207" s="10" t="s">
        <v>79</v>
      </c>
      <c r="B207" s="10" t="s">
        <v>222</v>
      </c>
      <c r="C207" s="10" t="s">
        <v>79</v>
      </c>
    </row>
    <row r="208" spans="1:3" hidden="1" x14ac:dyDescent="0.25">
      <c r="A208" s="10" t="s">
        <v>79</v>
      </c>
      <c r="B208" s="10" t="s">
        <v>223</v>
      </c>
      <c r="C208" s="10" t="s">
        <v>79</v>
      </c>
    </row>
    <row r="209" spans="1:3" hidden="1" x14ac:dyDescent="0.25">
      <c r="A209" s="10" t="s">
        <v>79</v>
      </c>
      <c r="B209" s="10" t="s">
        <v>224</v>
      </c>
      <c r="C209" s="10" t="s">
        <v>79</v>
      </c>
    </row>
    <row r="210" spans="1:3" hidden="1" x14ac:dyDescent="0.25">
      <c r="A210" s="10" t="s">
        <v>79</v>
      </c>
      <c r="B210" s="10" t="s">
        <v>225</v>
      </c>
      <c r="C210" s="10" t="s">
        <v>79</v>
      </c>
    </row>
    <row r="211" spans="1:3" hidden="1" x14ac:dyDescent="0.25">
      <c r="A211" s="10" t="s">
        <v>79</v>
      </c>
      <c r="B211" s="10" t="s">
        <v>246</v>
      </c>
      <c r="C211" s="10" t="s">
        <v>79</v>
      </c>
    </row>
    <row r="212" spans="1:3" hidden="1" x14ac:dyDescent="0.25">
      <c r="A212" s="10" t="s">
        <v>80</v>
      </c>
      <c r="B212" s="10" t="s">
        <v>80</v>
      </c>
      <c r="C212" s="10" t="s">
        <v>80</v>
      </c>
    </row>
    <row r="213" spans="1:3" hidden="1" x14ac:dyDescent="0.25">
      <c r="A213" s="10" t="s">
        <v>80</v>
      </c>
      <c r="B213" s="10" t="s">
        <v>226</v>
      </c>
      <c r="C213" s="10" t="s">
        <v>80</v>
      </c>
    </row>
    <row r="214" spans="1:3" hidden="1" x14ac:dyDescent="0.25">
      <c r="A214" s="10" t="s">
        <v>80</v>
      </c>
      <c r="B214" s="10" t="s">
        <v>227</v>
      </c>
      <c r="C214" s="10" t="s">
        <v>80</v>
      </c>
    </row>
    <row r="215" spans="1:3" hidden="1" x14ac:dyDescent="0.25">
      <c r="A215" s="10" t="s">
        <v>80</v>
      </c>
      <c r="B215" s="10" t="s">
        <v>228</v>
      </c>
      <c r="C215" s="10" t="s">
        <v>80</v>
      </c>
    </row>
    <row r="216" spans="1:3" hidden="1" x14ac:dyDescent="0.25">
      <c r="A216" s="10" t="s">
        <v>80</v>
      </c>
      <c r="B216" s="10" t="s">
        <v>229</v>
      </c>
      <c r="C216" s="10" t="s">
        <v>80</v>
      </c>
    </row>
    <row r="217" spans="1:3" hidden="1" x14ac:dyDescent="0.25">
      <c r="A217" s="10" t="s">
        <v>80</v>
      </c>
      <c r="B217" s="10" t="s">
        <v>230</v>
      </c>
      <c r="C217" s="10" t="s">
        <v>80</v>
      </c>
    </row>
    <row r="218" spans="1:3" hidden="1" x14ac:dyDescent="0.25"/>
    <row r="219" spans="1:3" hidden="1" x14ac:dyDescent="0.25"/>
    <row r="220" spans="1:3" hidden="1" x14ac:dyDescent="0.25"/>
    <row r="221" spans="1:3" hidden="1" x14ac:dyDescent="0.25"/>
    <row r="222" spans="1:3" hidden="1" x14ac:dyDescent="0.25"/>
    <row r="223" spans="1:3" hidden="1" x14ac:dyDescent="0.25"/>
    <row r="224" spans="1:3"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sheetData>
  <sheetProtection algorithmName="SHA-512" hashValue="lql3dHAZ+QWdd9E03pLa2RcPMydDkoMaVZlUBpJZk72qjJZUrHkWfBdK8ZcJspg1kzlppuQtf9Ux+7vZ2ITWQg==" saltValue="RUdaQi8VZhJOcgnHD/7MBg==" spinCount="100000" sheet="1" objects="1" scenarios="1"/>
  <mergeCells count="139">
    <mergeCell ref="X22:X23"/>
    <mergeCell ref="D16:F16"/>
    <mergeCell ref="A17:C17"/>
    <mergeCell ref="D17:F17"/>
    <mergeCell ref="A15:C15"/>
    <mergeCell ref="E26:F26"/>
    <mergeCell ref="D19:F19"/>
    <mergeCell ref="D21:F21"/>
    <mergeCell ref="D20:F20"/>
    <mergeCell ref="A23:C23"/>
    <mergeCell ref="D23:F23"/>
    <mergeCell ref="D24:F24"/>
    <mergeCell ref="V22:V23"/>
    <mergeCell ref="W22:W23"/>
    <mergeCell ref="G26:I26"/>
    <mergeCell ref="J26:K26"/>
    <mergeCell ref="L26:M26"/>
    <mergeCell ref="N26:O26"/>
    <mergeCell ref="G19:O20"/>
    <mergeCell ref="G23:L23"/>
    <mergeCell ref="U22:U23"/>
    <mergeCell ref="D31:F31"/>
    <mergeCell ref="G31:L31"/>
    <mergeCell ref="M31:O31"/>
    <mergeCell ref="A30:B30"/>
    <mergeCell ref="C30:D30"/>
    <mergeCell ref="A26:B26"/>
    <mergeCell ref="C26:D26"/>
    <mergeCell ref="A27:B27"/>
    <mergeCell ref="C27:D27"/>
    <mergeCell ref="E27:F27"/>
    <mergeCell ref="G27:I27"/>
    <mergeCell ref="J27:K27"/>
    <mergeCell ref="L27:M27"/>
    <mergeCell ref="A28:B28"/>
    <mergeCell ref="C28:D28"/>
    <mergeCell ref="E28:F28"/>
    <mergeCell ref="G30:I30"/>
    <mergeCell ref="J30:K30"/>
    <mergeCell ref="L30:M30"/>
    <mergeCell ref="J28:K28"/>
    <mergeCell ref="L28:M28"/>
    <mergeCell ref="N28:O28"/>
    <mergeCell ref="A33:C33"/>
    <mergeCell ref="D33:F33"/>
    <mergeCell ref="E2:F2"/>
    <mergeCell ref="G2:H2"/>
    <mergeCell ref="I2:J2"/>
    <mergeCell ref="K2:L2"/>
    <mergeCell ref="A2:D2"/>
    <mergeCell ref="T22:T23"/>
    <mergeCell ref="M2:O9"/>
    <mergeCell ref="E7:F7"/>
    <mergeCell ref="G7:L7"/>
    <mergeCell ref="A13:O13"/>
    <mergeCell ref="A14:C14"/>
    <mergeCell ref="A16:C16"/>
    <mergeCell ref="A11:B11"/>
    <mergeCell ref="C11:N11"/>
    <mergeCell ref="G12:O12"/>
    <mergeCell ref="G17:O17"/>
    <mergeCell ref="G22:L22"/>
    <mergeCell ref="N21:O21"/>
    <mergeCell ref="G21:M21"/>
    <mergeCell ref="G32:L32"/>
    <mergeCell ref="M32:O32"/>
    <mergeCell ref="E30:F30"/>
    <mergeCell ref="A34:C34"/>
    <mergeCell ref="D34:F34"/>
    <mergeCell ref="G34:L34"/>
    <mergeCell ref="M34:O34"/>
    <mergeCell ref="N30:O30"/>
    <mergeCell ref="A31:C31"/>
    <mergeCell ref="Y22:Y23"/>
    <mergeCell ref="A32:C32"/>
    <mergeCell ref="D32:F32"/>
    <mergeCell ref="G33:L33"/>
    <mergeCell ref="M33:O33"/>
    <mergeCell ref="G28:I28"/>
    <mergeCell ref="W28:Y28"/>
    <mergeCell ref="A29:B29"/>
    <mergeCell ref="C29:D29"/>
    <mergeCell ref="E29:F29"/>
    <mergeCell ref="G29:I29"/>
    <mergeCell ref="J29:K29"/>
    <mergeCell ref="L29:M29"/>
    <mergeCell ref="N29:O29"/>
    <mergeCell ref="G24:O24"/>
    <mergeCell ref="A25:O25"/>
    <mergeCell ref="N27:O27"/>
    <mergeCell ref="M22:O22"/>
    <mergeCell ref="G3:H3"/>
    <mergeCell ref="E3:F3"/>
    <mergeCell ref="E4:F4"/>
    <mergeCell ref="E6:F6"/>
    <mergeCell ref="E5:F5"/>
    <mergeCell ref="E8:F8"/>
    <mergeCell ref="A9:D9"/>
    <mergeCell ref="G8:H8"/>
    <mergeCell ref="G5:H5"/>
    <mergeCell ref="G9:L9"/>
    <mergeCell ref="I6:J6"/>
    <mergeCell ref="K6:L6"/>
    <mergeCell ref="A4:D4"/>
    <mergeCell ref="A6:D6"/>
    <mergeCell ref="A5:D5"/>
    <mergeCell ref="A8:D8"/>
    <mergeCell ref="E9:F9"/>
    <mergeCell ref="I4:J4"/>
    <mergeCell ref="K4:L4"/>
    <mergeCell ref="I5:J5"/>
    <mergeCell ref="K5:L5"/>
    <mergeCell ref="G4:H4"/>
    <mergeCell ref="G6:H6"/>
    <mergeCell ref="A7:D7"/>
    <mergeCell ref="AB21:AC21"/>
    <mergeCell ref="Z22:Z23"/>
    <mergeCell ref="D15:F15"/>
    <mergeCell ref="A12:B12"/>
    <mergeCell ref="C12:F12"/>
    <mergeCell ref="A37:A38"/>
    <mergeCell ref="B36:P36"/>
    <mergeCell ref="B37:B38"/>
    <mergeCell ref="A1:O1"/>
    <mergeCell ref="I3:J3"/>
    <mergeCell ref="K3:L3"/>
    <mergeCell ref="I8:J8"/>
    <mergeCell ref="K8:L8"/>
    <mergeCell ref="A3:D3"/>
    <mergeCell ref="A20:C20"/>
    <mergeCell ref="A21:C21"/>
    <mergeCell ref="A22:C22"/>
    <mergeCell ref="D22:F22"/>
    <mergeCell ref="D14:F14"/>
    <mergeCell ref="G14:O16"/>
    <mergeCell ref="A18:O18"/>
    <mergeCell ref="A19:C19"/>
    <mergeCell ref="A10:O10"/>
    <mergeCell ref="M23:O23"/>
  </mergeCells>
  <dataValidations count="6">
    <dataValidation type="list" allowBlank="1" showInputMessage="1" showErrorMessage="1" sqref="M31:O31">
      <formula1>$B$61:$B$73</formula1>
    </dataValidation>
    <dataValidation type="date" allowBlank="1" showInputMessage="1" showErrorMessage="1" sqref="G26:H26">
      <formula1>40057</formula1>
      <formula2>45657</formula2>
    </dataValidation>
    <dataValidation type="date" allowBlank="1" showInputMessage="1" showErrorMessage="1" sqref="C26:F26 J26:O26">
      <formula1>40330</formula1>
      <formula2>46022</formula2>
    </dataValidation>
    <dataValidation type="list" showInputMessage="1" showErrorMessage="1" sqref="C11">
      <formula1>$B$76:$B$217</formula1>
    </dataValidation>
    <dataValidation type="list" allowBlank="1" showInputMessage="1" showErrorMessage="1" sqref="E4:L4">
      <formula1>$D$38:$P$38</formula1>
    </dataValidation>
    <dataValidation type="list" allowBlank="1" showInputMessage="1" showErrorMessage="1" sqref="D20">
      <formula1>$B$61:$B$74</formula1>
    </dataValidation>
  </dataValidations>
  <pageMargins left="0.7" right="0.7" top="0.75" bottom="0.75" header="0.3" footer="0.3"/>
  <pageSetup paperSize="9" scale="81" orientation="portrait" r:id="rId1"/>
  <ignoredErrors>
    <ignoredError sqref="P24" formula="1"/>
    <ignoredError sqref="G3 I3 K3"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4</vt:i4>
      </vt:variant>
    </vt:vector>
  </HeadingPairs>
  <TitlesOfParts>
    <vt:vector size="4" baseType="lpstr">
      <vt:lpstr>Diploma</vt:lpstr>
      <vt:lpstr>Bilanço</vt:lpstr>
      <vt:lpstr>Ciro</vt:lpstr>
      <vt:lpstr>İş Deneyim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Dizüstü</dc:creator>
  <cp:lastModifiedBy>Dogukan Aras</cp:lastModifiedBy>
  <cp:lastPrinted>2025-05-20T06:54:08Z</cp:lastPrinted>
  <dcterms:created xsi:type="dcterms:W3CDTF">2024-09-03T10:37:05Z</dcterms:created>
  <dcterms:modified xsi:type="dcterms:W3CDTF">2025-11-03T07:32:47Z</dcterms:modified>
</cp:coreProperties>
</file>