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BuÇalışmaKitabı" defaultThemeVersion="124226"/>
  <mc:AlternateContent xmlns:mc="http://schemas.openxmlformats.org/markup-compatibility/2006">
    <mc:Choice Requires="x15">
      <x15ac:absPath xmlns:x15ac="http://schemas.microsoft.com/office/spreadsheetml/2010/11/ac" url="C:\Users\Tan\Desktop\"/>
    </mc:Choice>
  </mc:AlternateContent>
  <xr:revisionPtr revIDLastSave="0" documentId="13_ncr:1_{62A357EF-5344-47BB-8793-80E329113C73}" xr6:coauthVersionLast="47" xr6:coauthVersionMax="47" xr10:uidLastSave="{00000000-0000-0000-0000-000000000000}"/>
  <bookViews>
    <workbookView xWindow="-120" yWindow="-120" windowWidth="29040" windowHeight="15840" xr2:uid="{00000000-000D-0000-FFFF-FFFF00000000}"/>
  </bookViews>
  <sheets>
    <sheet name="Sismik" sheetId="1" r:id="rId1"/>
    <sheet name="DES" sheetId="2" r:id="rId2"/>
    <sheet name="Parametreler" sheetId="16" r:id="rId3"/>
    <sheet name="P dalga Hızı" sheetId="3" r:id="rId4"/>
    <sheet name="S dalga Hızı" sheetId="12" r:id="rId5"/>
    <sheet name="MASW- VS30 Değerlendirme" sheetId="18" r:id="rId6"/>
    <sheet name="Elastisite" sheetId="8" r:id="rId7"/>
    <sheet name="Kayma modülü" sheetId="7" r:id="rId8"/>
    <sheet name="Bulk" sheetId="9" r:id="rId9"/>
    <sheet name="poisson" sheetId="6" r:id="rId10"/>
    <sheet name="yoğunluk" sheetId="4" r:id="rId11"/>
    <sheet name="Hız Oranı" sheetId="5" r:id="rId12"/>
    <sheet name="Zemin Büyütmesi ve ZHTP" sheetId="11" r:id="rId13"/>
    <sheet name="Sıvılaşma " sheetId="21" r:id="rId14"/>
    <sheet name="Zemin Taşıma" sheetId="23" r:id="rId15"/>
    <sheet name="Düşey yatak katsayısı" sheetId="19" r:id="rId16"/>
    <sheet name="Şev Analizi" sheetId="22" r:id="rId17"/>
    <sheet name="Zemin Sınıfı" sheetId="20" r:id="rId18"/>
    <sheet name=" DEPREM RİSK " sheetId="25" r:id="rId19"/>
    <sheet name="SONUÇ" sheetId="24" r:id="rId20"/>
  </sheets>
  <definedNames>
    <definedName name="_xlnm.Print_Area" localSheetId="0">Sismik!$A$1:$M$26</definedName>
  </definedNames>
  <calcPr calcId="191029"/>
</workbook>
</file>

<file path=xl/calcChain.xml><?xml version="1.0" encoding="utf-8"?>
<calcChain xmlns="http://schemas.openxmlformats.org/spreadsheetml/2006/main">
  <c r="Z40" i="11" l="1"/>
  <c r="Y40" i="11"/>
  <c r="Z39" i="11"/>
  <c r="Y39" i="11"/>
  <c r="V42" i="11" l="1"/>
  <c r="V41" i="11" s="1"/>
  <c r="V43" i="11" s="1"/>
  <c r="AB38" i="23" l="1"/>
  <c r="AH72" i="21" l="1"/>
  <c r="AE72" i="21" s="1"/>
  <c r="I8" i="22"/>
  <c r="I7" i="22" s="1"/>
  <c r="X31" i="21"/>
  <c r="AG29" i="21"/>
  <c r="AI26" i="21" s="1"/>
  <c r="AI27" i="21"/>
  <c r="AG30" i="21" l="1"/>
  <c r="J83" i="21"/>
  <c r="I83" i="21"/>
  <c r="J82" i="21"/>
  <c r="I82" i="21"/>
  <c r="I84" i="21" l="1"/>
  <c r="F85" i="21" s="1"/>
  <c r="F84" i="21" s="1"/>
  <c r="F86" i="21" s="1"/>
  <c r="AC29" i="23" l="1"/>
  <c r="AC30" i="23" s="1"/>
  <c r="V66" i="21" l="1"/>
  <c r="U60" i="21"/>
  <c r="U59" i="21"/>
  <c r="AF38" i="2" l="1"/>
  <c r="AF37" i="2"/>
  <c r="AF36" i="2"/>
  <c r="AF35" i="2"/>
  <c r="AF34" i="2"/>
  <c r="AF33" i="2"/>
  <c r="AF32" i="2"/>
  <c r="AF31" i="2"/>
  <c r="AF30" i="2"/>
  <c r="AF29" i="2"/>
  <c r="AF28" i="2"/>
  <c r="AF27" i="2"/>
  <c r="AF26" i="2"/>
  <c r="AF25" i="2"/>
  <c r="AF24" i="2"/>
  <c r="AF23" i="2"/>
  <c r="AF22" i="2"/>
  <c r="AF21" i="2"/>
  <c r="Z9" i="11" l="1"/>
  <c r="Z8" i="11"/>
  <c r="Z7" i="11"/>
  <c r="Z6" i="11"/>
  <c r="Z5" i="11"/>
  <c r="Z4" i="11"/>
  <c r="I10" i="18" l="1"/>
  <c r="H24" i="18" s="1"/>
  <c r="I9" i="18"/>
  <c r="H23" i="18" s="1"/>
  <c r="I8" i="18"/>
  <c r="H22" i="18" s="1"/>
  <c r="I7" i="18"/>
  <c r="H21" i="18" s="1"/>
  <c r="I6" i="18"/>
  <c r="H20" i="18" s="1"/>
  <c r="I5" i="18"/>
  <c r="H19" i="18" s="1"/>
  <c r="I6" i="6" l="1"/>
  <c r="I8" i="6"/>
  <c r="I10" i="6"/>
  <c r="I12" i="6"/>
  <c r="I14" i="6"/>
  <c r="I4" i="6"/>
  <c r="AF19" i="11" l="1"/>
  <c r="AE17" i="11"/>
  <c r="AF18" i="11"/>
  <c r="AF22" i="11"/>
  <c r="AE21" i="11"/>
  <c r="AF20" i="11"/>
  <c r="AE20" i="11"/>
  <c r="AH9" i="11"/>
  <c r="AH8" i="11"/>
  <c r="AH7" i="11"/>
  <c r="AH6" i="11"/>
  <c r="AH5" i="11"/>
  <c r="AH4" i="11"/>
  <c r="E8" i="21"/>
  <c r="E7" i="21"/>
  <c r="E17" i="21"/>
  <c r="AO24" i="18"/>
  <c r="AO26" i="18" s="1"/>
  <c r="AQ26" i="18" s="1"/>
  <c r="AF21" i="11" l="1"/>
  <c r="AF17" i="11"/>
  <c r="AE19" i="11"/>
  <c r="AE18" i="11"/>
  <c r="AE22" i="11"/>
  <c r="AG71" i="21"/>
  <c r="AH70" i="21" s="1"/>
  <c r="AG78" i="21" s="1"/>
  <c r="AE58" i="21"/>
  <c r="AE60" i="21" s="1"/>
  <c r="AG60" i="21" s="1"/>
  <c r="AG11" i="11" l="1"/>
  <c r="U41" i="21" s="1"/>
  <c r="T5" i="11" l="1"/>
  <c r="AH18" i="11" s="1"/>
  <c r="T6" i="11"/>
  <c r="AH19" i="11" s="1"/>
  <c r="T7" i="11"/>
  <c r="T8" i="11"/>
  <c r="T9" i="11"/>
  <c r="T4" i="11"/>
  <c r="AH17" i="11" l="1"/>
  <c r="AI17" i="11" s="1"/>
  <c r="AH22" i="11"/>
  <c r="AI22" i="11" s="1"/>
  <c r="AN9" i="11"/>
  <c r="AH21" i="11"/>
  <c r="AI21" i="11" s="1"/>
  <c r="AN8" i="11"/>
  <c r="V7" i="11"/>
  <c r="AP7" i="11" s="1"/>
  <c r="AH20" i="11"/>
  <c r="AI20" i="11" s="1"/>
  <c r="AN7" i="11"/>
  <c r="AN6" i="11"/>
  <c r="AI19" i="11"/>
  <c r="AN5" i="11"/>
  <c r="AI18" i="11"/>
  <c r="U48" i="21"/>
  <c r="AN4" i="11"/>
  <c r="V9" i="11"/>
  <c r="AP9" i="11" s="1"/>
  <c r="U9" i="11"/>
  <c r="AO9" i="11" s="1"/>
  <c r="V8" i="11"/>
  <c r="AP8" i="11" s="1"/>
  <c r="U8" i="11"/>
  <c r="AO8" i="11" s="1"/>
  <c r="U7" i="11"/>
  <c r="AO7" i="11" s="1"/>
  <c r="U5" i="11"/>
  <c r="AO5" i="11" s="1"/>
  <c r="U4" i="11"/>
  <c r="AO4" i="11" s="1"/>
  <c r="V6" i="11"/>
  <c r="AP6" i="11" s="1"/>
  <c r="V5" i="11"/>
  <c r="AP5" i="11" s="1"/>
  <c r="U6" i="11"/>
  <c r="AO6" i="11" s="1"/>
  <c r="V4" i="11"/>
  <c r="AP4" i="11" s="1"/>
  <c r="AO11" i="11" l="1"/>
  <c r="U12" i="11" s="1"/>
  <c r="AO10" i="11"/>
  <c r="U11" i="11" s="1"/>
  <c r="AP11" i="11"/>
  <c r="V12" i="11" s="1"/>
  <c r="AP10" i="11"/>
  <c r="V11" i="11" s="1"/>
  <c r="AN10" i="11"/>
  <c r="T11" i="11" s="1"/>
  <c r="AN11" i="11"/>
  <c r="T12" i="11" s="1"/>
  <c r="Y11" i="11"/>
  <c r="U42" i="21" s="1"/>
  <c r="M10" i="25" l="1"/>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37" i="25" l="1"/>
  <c r="W8" i="25" l="1"/>
  <c r="V10" i="25"/>
  <c r="V41" i="21"/>
  <c r="W42" i="21" s="1"/>
  <c r="X8" i="25" l="1"/>
  <c r="X11" i="25"/>
  <c r="E28" i="23" l="1"/>
  <c r="E29" i="23" s="1"/>
  <c r="A206" i="23"/>
  <c r="A205" i="23"/>
  <c r="A204" i="23"/>
  <c r="A203" i="23"/>
  <c r="A202" i="23"/>
  <c r="A201" i="23"/>
  <c r="A209" i="23"/>
  <c r="A210" i="23"/>
  <c r="A211" i="23"/>
  <c r="A212" i="23"/>
  <c r="A213" i="23"/>
  <c r="A214" i="23"/>
  <c r="K204" i="23"/>
  <c r="N45" i="23"/>
  <c r="N44" i="23"/>
  <c r="N35" i="23"/>
  <c r="N34" i="23"/>
  <c r="N25" i="23"/>
  <c r="N24" i="23"/>
  <c r="B214" i="23"/>
  <c r="B213" i="23"/>
  <c r="B212" i="23"/>
  <c r="B211" i="23"/>
  <c r="B210" i="23"/>
  <c r="B209" i="23"/>
  <c r="B206" i="23"/>
  <c r="B205" i="23"/>
  <c r="B204" i="23"/>
  <c r="B203" i="23"/>
  <c r="B202" i="23"/>
  <c r="B201" i="23"/>
  <c r="D213" i="23" l="1"/>
  <c r="D211" i="23"/>
  <c r="D201" i="23"/>
  <c r="D203" i="23"/>
  <c r="U6" i="23" l="1"/>
  <c r="E201" i="23"/>
  <c r="U7" i="23" s="1"/>
  <c r="U37" i="23"/>
  <c r="E213" i="23"/>
  <c r="U38" i="23" s="1"/>
  <c r="U16" i="23"/>
  <c r="E203" i="23"/>
  <c r="U17" i="23" s="1"/>
  <c r="U27" i="23"/>
  <c r="E211" i="23"/>
  <c r="U28" i="23" s="1"/>
  <c r="E11" i="11"/>
  <c r="F11" i="11"/>
  <c r="N22" i="23" l="1"/>
  <c r="N23" i="23"/>
  <c r="N42" i="23"/>
  <c r="Q43" i="23"/>
  <c r="Q42" i="23"/>
  <c r="N43" i="23"/>
  <c r="Q22" i="23"/>
  <c r="Q23" i="23"/>
  <c r="Q33" i="23"/>
  <c r="Q32" i="23"/>
  <c r="N33" i="23"/>
  <c r="N32" i="23"/>
  <c r="Q11" i="23"/>
  <c r="N11" i="23"/>
  <c r="Q12" i="23"/>
  <c r="N12" i="23"/>
  <c r="I14" i="11"/>
  <c r="E15" i="11"/>
  <c r="F15" i="11"/>
  <c r="G15" i="11"/>
  <c r="M15" i="11" s="1"/>
  <c r="H15" i="11"/>
  <c r="L15" i="11"/>
  <c r="L11" i="11"/>
  <c r="G11" i="11"/>
  <c r="M11" i="11" s="1"/>
  <c r="H11" i="11"/>
  <c r="AE6" i="11"/>
  <c r="AE7" i="11"/>
  <c r="AE8" i="11"/>
  <c r="AE9" i="11"/>
  <c r="W10" i="2"/>
  <c r="W9" i="2"/>
  <c r="W8" i="2"/>
  <c r="W7" i="2"/>
  <c r="Y15" i="2"/>
  <c r="Y14" i="2"/>
  <c r="Y13" i="2"/>
  <c r="Y12" i="2"/>
  <c r="Y11" i="2"/>
  <c r="Y10" i="2"/>
  <c r="Y9" i="2"/>
  <c r="Y8" i="2"/>
  <c r="Y7" i="2"/>
  <c r="Q44" i="23" l="1"/>
  <c r="Q45" i="23"/>
  <c r="Q35" i="23"/>
  <c r="Q34" i="23"/>
  <c r="V48" i="21" l="1"/>
  <c r="T16" i="24"/>
  <c r="T15" i="24"/>
  <c r="U51" i="21"/>
  <c r="V51" i="21" s="1"/>
  <c r="U52" i="21"/>
  <c r="V52" i="21" s="1"/>
  <c r="U53" i="21"/>
  <c r="V53" i="21" s="1"/>
  <c r="U50" i="21"/>
  <c r="V50" i="21" s="1"/>
  <c r="U49" i="21"/>
  <c r="V49" i="21" s="1"/>
  <c r="V20" i="2"/>
  <c r="V21" i="2"/>
  <c r="V22" i="2"/>
  <c r="V26" i="2"/>
  <c r="V27" i="2"/>
  <c r="V28" i="2"/>
  <c r="V29" i="2"/>
  <c r="V30" i="2"/>
  <c r="V31" i="2"/>
  <c r="K18" i="2" l="1"/>
  <c r="Q11" i="24" s="1"/>
  <c r="K17" i="2"/>
  <c r="Q10" i="24" s="1"/>
  <c r="S12" i="11"/>
  <c r="N16" i="24" s="1"/>
  <c r="S11" i="11"/>
  <c r="N15" i="24" s="1"/>
  <c r="AD12" i="11"/>
  <c r="Q16" i="24" s="1"/>
  <c r="AD11" i="11"/>
  <c r="Q15" i="24" s="1"/>
  <c r="M64" i="21" l="1"/>
  <c r="M54" i="21"/>
  <c r="M44" i="21"/>
  <c r="E64" i="21"/>
  <c r="E54" i="21"/>
  <c r="E44" i="21"/>
  <c r="M62" i="21"/>
  <c r="M65" i="21" s="1"/>
  <c r="M66" i="21" s="1"/>
  <c r="M52" i="21"/>
  <c r="M42" i="21"/>
  <c r="M45" i="21" s="1"/>
  <c r="M46" i="21" s="1"/>
  <c r="E62" i="21"/>
  <c r="E65" i="21" s="1"/>
  <c r="E66" i="21" s="1"/>
  <c r="E52" i="21"/>
  <c r="E42" i="21"/>
  <c r="M67" i="21" l="1"/>
  <c r="O67" i="21" s="1"/>
  <c r="M47" i="21"/>
  <c r="O47" i="21" s="1"/>
  <c r="E67" i="21"/>
  <c r="G67" i="21" s="1"/>
  <c r="M55" i="21"/>
  <c r="M56" i="21" s="1"/>
  <c r="E55" i="21"/>
  <c r="E56" i="21" s="1"/>
  <c r="E57" i="21" s="1"/>
  <c r="G57" i="21" s="1"/>
  <c r="E45" i="21"/>
  <c r="E46" i="21" s="1"/>
  <c r="E47" i="21" s="1"/>
  <c r="G47" i="21" s="1"/>
  <c r="G14" i="4"/>
  <c r="G12" i="4"/>
  <c r="G10" i="4"/>
  <c r="G8" i="4"/>
  <c r="G6" i="4"/>
  <c r="G4" i="4"/>
  <c r="G14" i="9"/>
  <c r="G12" i="9"/>
  <c r="G10" i="9"/>
  <c r="G8" i="9"/>
  <c r="G6" i="9"/>
  <c r="G4" i="9"/>
  <c r="G14" i="7"/>
  <c r="G12" i="7"/>
  <c r="G10" i="7"/>
  <c r="G8" i="7"/>
  <c r="G6" i="7"/>
  <c r="G4" i="7"/>
  <c r="G14" i="8"/>
  <c r="G12" i="8"/>
  <c r="G10" i="8"/>
  <c r="G8" i="8"/>
  <c r="G6" i="8"/>
  <c r="G4" i="8"/>
  <c r="P139" i="1"/>
  <c r="W15" i="2"/>
  <c r="W14" i="2"/>
  <c r="W13" i="2"/>
  <c r="W12" i="2"/>
  <c r="W11" i="2"/>
  <c r="M57" i="21" l="1"/>
  <c r="O57" i="21" s="1"/>
  <c r="R26" i="20"/>
  <c r="AF52" i="18"/>
  <c r="H138" i="1"/>
  <c r="G138" i="1"/>
  <c r="H112" i="1"/>
  <c r="G112" i="1"/>
  <c r="H86" i="1"/>
  <c r="G86" i="1"/>
  <c r="H34" i="1"/>
  <c r="H60" i="1"/>
  <c r="G60" i="1"/>
  <c r="G34" i="1"/>
  <c r="H7" i="1"/>
  <c r="G7" i="1"/>
  <c r="C20" i="23" l="1"/>
  <c r="F20" i="23" s="1"/>
  <c r="E25" i="23" l="1"/>
  <c r="E22" i="23"/>
  <c r="E26" i="23" l="1"/>
  <c r="C146" i="1"/>
  <c r="C120" i="1"/>
  <c r="C94" i="1"/>
  <c r="C68" i="1"/>
  <c r="C42" i="1"/>
  <c r="C15" i="1"/>
  <c r="V9" i="16" l="1"/>
  <c r="N26" i="18"/>
  <c r="P26" i="18" s="1"/>
  <c r="V19" i="16"/>
  <c r="N25" i="18"/>
  <c r="P25" i="18" s="1"/>
  <c r="V17" i="16"/>
  <c r="N24" i="18"/>
  <c r="P24" i="18" s="1"/>
  <c r="V15" i="16"/>
  <c r="N23" i="18"/>
  <c r="P23" i="18" s="1"/>
  <c r="V13" i="16"/>
  <c r="N22" i="18"/>
  <c r="O22" i="18" s="1"/>
  <c r="V11" i="16"/>
  <c r="N21" i="18"/>
  <c r="C254" i="1"/>
  <c r="E252" i="1" s="1"/>
  <c r="D140" i="1" s="1"/>
  <c r="B254" i="1"/>
  <c r="D252" i="1" s="1"/>
  <c r="C140" i="1" s="1"/>
  <c r="C253" i="1"/>
  <c r="B253" i="1"/>
  <c r="C252" i="1"/>
  <c r="B252" i="1"/>
  <c r="C251" i="1"/>
  <c r="E249" i="1" s="1"/>
  <c r="D114" i="1" s="1"/>
  <c r="B251" i="1"/>
  <c r="D249" i="1" s="1"/>
  <c r="C114" i="1" s="1"/>
  <c r="C250" i="1"/>
  <c r="B250" i="1"/>
  <c r="C249" i="1"/>
  <c r="B249" i="1"/>
  <c r="C248" i="1"/>
  <c r="E246" i="1" s="1"/>
  <c r="D88" i="1" s="1"/>
  <c r="B248" i="1"/>
  <c r="D246" i="1" s="1"/>
  <c r="C88" i="1" s="1"/>
  <c r="C247" i="1"/>
  <c r="B247" i="1"/>
  <c r="C246" i="1"/>
  <c r="B246" i="1"/>
  <c r="C245" i="1"/>
  <c r="E243" i="1" s="1"/>
  <c r="D62" i="1" s="1"/>
  <c r="B245" i="1"/>
  <c r="D243" i="1" s="1"/>
  <c r="C62" i="1" s="1"/>
  <c r="C244" i="1"/>
  <c r="B244" i="1"/>
  <c r="C243" i="1"/>
  <c r="B243" i="1"/>
  <c r="C242" i="1"/>
  <c r="E240" i="1" s="1"/>
  <c r="D36" i="1" s="1"/>
  <c r="B242" i="1"/>
  <c r="D240" i="1" s="1"/>
  <c r="C36" i="1" s="1"/>
  <c r="C241" i="1"/>
  <c r="B241" i="1"/>
  <c r="C240" i="1"/>
  <c r="B240" i="1"/>
  <c r="C239" i="1"/>
  <c r="E237" i="1" s="1"/>
  <c r="D9" i="1" s="1"/>
  <c r="B239" i="1"/>
  <c r="D237" i="1" s="1"/>
  <c r="C9" i="1" s="1"/>
  <c r="C238" i="1"/>
  <c r="B238" i="1"/>
  <c r="C237" i="1"/>
  <c r="B237" i="1"/>
  <c r="D218" i="1"/>
  <c r="C156" i="1" s="1"/>
  <c r="Q26" i="18" s="1"/>
  <c r="R26" i="18" s="1"/>
  <c r="D217" i="1"/>
  <c r="C130" i="1" s="1"/>
  <c r="Q25" i="18" s="1"/>
  <c r="R25" i="18" s="1"/>
  <c r="D216" i="1"/>
  <c r="C104" i="1" s="1"/>
  <c r="Q24" i="18" s="1"/>
  <c r="R24" i="18" s="1"/>
  <c r="D215" i="1"/>
  <c r="C78" i="1" s="1"/>
  <c r="Q23" i="18" s="1"/>
  <c r="R23" i="18" s="1"/>
  <c r="D214" i="1"/>
  <c r="C52" i="1" s="1"/>
  <c r="Q22" i="18" s="1"/>
  <c r="R22" i="18" s="1"/>
  <c r="D213" i="1"/>
  <c r="D152" i="1"/>
  <c r="Y20" i="16" s="1"/>
  <c r="C152" i="1"/>
  <c r="Y19" i="16" s="1"/>
  <c r="I151" i="1"/>
  <c r="D142" i="1"/>
  <c r="G15" i="6" s="1"/>
  <c r="C142" i="1"/>
  <c r="G14" i="6" s="1"/>
  <c r="D141" i="1"/>
  <c r="C141" i="1"/>
  <c r="I141" i="1" s="1"/>
  <c r="D136" i="1"/>
  <c r="C136" i="1"/>
  <c r="K137" i="1"/>
  <c r="I137" i="1"/>
  <c r="H134" i="1"/>
  <c r="G133" i="1"/>
  <c r="D126" i="1"/>
  <c r="Y18" i="16" s="1"/>
  <c r="C126" i="1"/>
  <c r="Y17" i="16" s="1"/>
  <c r="I125" i="1"/>
  <c r="D116" i="1"/>
  <c r="G13" i="6" s="1"/>
  <c r="C116" i="1"/>
  <c r="G12" i="6" s="1"/>
  <c r="D115" i="1"/>
  <c r="K115" i="1" s="1"/>
  <c r="C115" i="1"/>
  <c r="T15" i="1" s="1"/>
  <c r="D110" i="1"/>
  <c r="C110" i="1"/>
  <c r="K111" i="1"/>
  <c r="I111" i="1"/>
  <c r="H108" i="1"/>
  <c r="G107" i="1"/>
  <c r="D100" i="1"/>
  <c r="Y16" i="16" s="1"/>
  <c r="C100" i="1"/>
  <c r="Y15" i="16" s="1"/>
  <c r="I99" i="1"/>
  <c r="D90" i="1"/>
  <c r="G11" i="6" s="1"/>
  <c r="C90" i="1"/>
  <c r="G10" i="6" s="1"/>
  <c r="D89" i="1"/>
  <c r="K89" i="1" s="1"/>
  <c r="C89" i="1"/>
  <c r="I89" i="1" s="1"/>
  <c r="D84" i="1"/>
  <c r="C84" i="1"/>
  <c r="K85" i="1"/>
  <c r="I85" i="1"/>
  <c r="H82" i="1"/>
  <c r="G81" i="1"/>
  <c r="D74" i="1"/>
  <c r="Y14" i="16" s="1"/>
  <c r="C74" i="1"/>
  <c r="Y13" i="16" s="1"/>
  <c r="I73" i="1"/>
  <c r="D64" i="1"/>
  <c r="C64" i="1"/>
  <c r="D63" i="1"/>
  <c r="C63" i="1"/>
  <c r="D58" i="1"/>
  <c r="C58" i="1"/>
  <c r="K59" i="1"/>
  <c r="I59" i="1"/>
  <c r="H56" i="1"/>
  <c r="G55" i="1"/>
  <c r="D48" i="1"/>
  <c r="Y12" i="16" s="1"/>
  <c r="C48" i="1"/>
  <c r="Y11" i="16" s="1"/>
  <c r="I47" i="1"/>
  <c r="D38" i="1"/>
  <c r="G7" i="6" s="1"/>
  <c r="C38" i="1"/>
  <c r="G6" i="6" s="1"/>
  <c r="D37" i="1"/>
  <c r="C37" i="1"/>
  <c r="D32" i="1"/>
  <c r="C32" i="1"/>
  <c r="K33" i="1"/>
  <c r="I33" i="1"/>
  <c r="H30" i="1"/>
  <c r="G29" i="1"/>
  <c r="D21" i="1"/>
  <c r="Y10" i="16" s="1"/>
  <c r="C21" i="1"/>
  <c r="Y9" i="16" s="1"/>
  <c r="Q18" i="1"/>
  <c r="P18" i="1"/>
  <c r="R17" i="1"/>
  <c r="Q17" i="1"/>
  <c r="P17" i="1"/>
  <c r="Q16" i="1"/>
  <c r="P16" i="1"/>
  <c r="R15" i="1"/>
  <c r="Q15" i="1"/>
  <c r="P15" i="1"/>
  <c r="I20" i="1"/>
  <c r="Q14" i="1"/>
  <c r="P14" i="1"/>
  <c r="R13" i="1"/>
  <c r="Q13" i="1"/>
  <c r="P13" i="1"/>
  <c r="G13" i="1"/>
  <c r="Q12" i="1"/>
  <c r="P12" i="1"/>
  <c r="R11" i="1"/>
  <c r="Q11" i="1"/>
  <c r="P11" i="1"/>
  <c r="D11" i="1"/>
  <c r="G5" i="6" s="1"/>
  <c r="C11" i="1"/>
  <c r="G4" i="6" s="1"/>
  <c r="Q10" i="1"/>
  <c r="P10" i="1"/>
  <c r="D10" i="1"/>
  <c r="T8" i="1" s="1"/>
  <c r="C10" i="1"/>
  <c r="T7" i="1" s="1"/>
  <c r="R9" i="1"/>
  <c r="Q9" i="1"/>
  <c r="P9" i="1"/>
  <c r="Q8" i="1"/>
  <c r="P8" i="1"/>
  <c r="R7" i="1"/>
  <c r="Q7" i="1"/>
  <c r="P7" i="1"/>
  <c r="D5" i="1"/>
  <c r="C5" i="1"/>
  <c r="K6" i="1"/>
  <c r="I6" i="1"/>
  <c r="H3" i="1"/>
  <c r="G2" i="1"/>
  <c r="K65" i="1" l="1"/>
  <c r="G9" i="6"/>
  <c r="G8" i="6"/>
  <c r="O23" i="18"/>
  <c r="P22" i="18"/>
  <c r="C25" i="1"/>
  <c r="Q21" i="18" s="1"/>
  <c r="R21" i="18" s="1"/>
  <c r="M211" i="1"/>
  <c r="O24" i="18"/>
  <c r="O26" i="18"/>
  <c r="O25" i="18"/>
  <c r="D17" i="1"/>
  <c r="D16" i="1"/>
  <c r="C17" i="1"/>
  <c r="C16" i="1"/>
  <c r="C69" i="1"/>
  <c r="C70" i="1"/>
  <c r="T13" i="16" s="1"/>
  <c r="C122" i="1"/>
  <c r="T17" i="16" s="1"/>
  <c r="C121" i="1"/>
  <c r="U17" i="16" s="1"/>
  <c r="D121" i="1"/>
  <c r="U18" i="16" s="1"/>
  <c r="D122" i="1"/>
  <c r="T18" i="16" s="1"/>
  <c r="C44" i="1"/>
  <c r="T11" i="16" s="1"/>
  <c r="C43" i="1"/>
  <c r="C95" i="1"/>
  <c r="U15" i="16" s="1"/>
  <c r="C96" i="1"/>
  <c r="T15" i="16" s="1"/>
  <c r="C147" i="1"/>
  <c r="U19" i="16" s="1"/>
  <c r="C148" i="1"/>
  <c r="T19" i="16" s="1"/>
  <c r="I37" i="1"/>
  <c r="D69" i="1"/>
  <c r="D70" i="1"/>
  <c r="T14" i="16" s="1"/>
  <c r="T10" i="1"/>
  <c r="T11" i="1"/>
  <c r="D43" i="1"/>
  <c r="D44" i="1"/>
  <c r="T12" i="16" s="1"/>
  <c r="D95" i="1"/>
  <c r="U16" i="16" s="1"/>
  <c r="D96" i="1"/>
  <c r="T16" i="16" s="1"/>
  <c r="D147" i="1"/>
  <c r="U20" i="16" s="1"/>
  <c r="D148" i="1"/>
  <c r="T20" i="16" s="1"/>
  <c r="K39" i="1"/>
  <c r="K143" i="1"/>
  <c r="I65" i="1"/>
  <c r="O21" i="18"/>
  <c r="P21" i="18"/>
  <c r="K117" i="1"/>
  <c r="U14" i="1"/>
  <c r="I12" i="1"/>
  <c r="I117" i="1"/>
  <c r="U8" i="1"/>
  <c r="I39" i="1"/>
  <c r="I91" i="1"/>
  <c r="I143" i="1"/>
  <c r="M210" i="1"/>
  <c r="O210" i="1"/>
  <c r="D41" i="23"/>
  <c r="C41" i="23"/>
  <c r="C206" i="23"/>
  <c r="F41" i="23"/>
  <c r="E41" i="23"/>
  <c r="C214" i="23"/>
  <c r="C213" i="23"/>
  <c r="F40" i="23"/>
  <c r="E40" i="23"/>
  <c r="C40" i="23"/>
  <c r="D40" i="23"/>
  <c r="C204" i="23"/>
  <c r="C39" i="23"/>
  <c r="D39" i="23"/>
  <c r="C212" i="23"/>
  <c r="E39" i="23"/>
  <c r="F39" i="23"/>
  <c r="C203" i="23"/>
  <c r="D38" i="23"/>
  <c r="C38" i="23"/>
  <c r="C211" i="23"/>
  <c r="F38" i="23"/>
  <c r="E38" i="23"/>
  <c r="C37" i="23"/>
  <c r="D37" i="23"/>
  <c r="E37" i="23"/>
  <c r="F37" i="23"/>
  <c r="C209" i="23"/>
  <c r="F36" i="23"/>
  <c r="E36" i="23"/>
  <c r="C36" i="23"/>
  <c r="D36" i="23"/>
  <c r="C12" i="1"/>
  <c r="V7" i="1" s="1"/>
  <c r="C201" i="23"/>
  <c r="C39" i="1"/>
  <c r="C40" i="1" s="1"/>
  <c r="C202" i="23"/>
  <c r="S10" i="1"/>
  <c r="C210" i="23"/>
  <c r="C119" i="1"/>
  <c r="X15" i="1" s="1"/>
  <c r="C205" i="23"/>
  <c r="C143" i="1"/>
  <c r="C144" i="1" s="1"/>
  <c r="Y23" i="11"/>
  <c r="C154" i="1"/>
  <c r="S24" i="11"/>
  <c r="C128" i="1"/>
  <c r="S23" i="11"/>
  <c r="S18" i="1"/>
  <c r="Y24" i="11"/>
  <c r="D12" i="1"/>
  <c r="V8" i="1" s="1"/>
  <c r="C76" i="1"/>
  <c r="Y21" i="11"/>
  <c r="S21" i="11"/>
  <c r="C50" i="1"/>
  <c r="S20" i="11"/>
  <c r="Y20" i="11"/>
  <c r="C102" i="1"/>
  <c r="S22" i="11"/>
  <c r="Y22" i="11"/>
  <c r="T12" i="1"/>
  <c r="K63" i="1"/>
  <c r="T18" i="1"/>
  <c r="K141" i="1"/>
  <c r="U13" i="1"/>
  <c r="T9" i="1"/>
  <c r="I10" i="1"/>
  <c r="T17" i="1"/>
  <c r="U18" i="1"/>
  <c r="U15" i="1"/>
  <c r="U11" i="1"/>
  <c r="K10" i="1"/>
  <c r="C20" i="1"/>
  <c r="X9" i="16" s="1"/>
  <c r="D20" i="1"/>
  <c r="X10" i="16" s="1"/>
  <c r="U7" i="1"/>
  <c r="S7" i="1"/>
  <c r="K8" i="1"/>
  <c r="I8" i="1"/>
  <c r="S8" i="1"/>
  <c r="K12" i="1"/>
  <c r="C14" i="1"/>
  <c r="D14" i="1"/>
  <c r="K37" i="1"/>
  <c r="C47" i="1"/>
  <c r="X11" i="16" s="1"/>
  <c r="D47" i="1"/>
  <c r="X12" i="16" s="1"/>
  <c r="Y9" i="1"/>
  <c r="S9" i="1"/>
  <c r="U9" i="1"/>
  <c r="Y17" i="1"/>
  <c r="C125" i="1"/>
  <c r="X17" i="16" s="1"/>
  <c r="Y15" i="1"/>
  <c r="T16" i="1"/>
  <c r="Y13" i="1"/>
  <c r="C101" i="1"/>
  <c r="Y11" i="1"/>
  <c r="U12" i="1"/>
  <c r="C153" i="1"/>
  <c r="C49" i="1"/>
  <c r="C75" i="1"/>
  <c r="C151" i="1"/>
  <c r="X19" i="16" s="1"/>
  <c r="S17" i="1"/>
  <c r="D151" i="1"/>
  <c r="X20" i="16" s="1"/>
  <c r="U17" i="1"/>
  <c r="U16" i="1"/>
  <c r="I115" i="1"/>
  <c r="D125" i="1"/>
  <c r="X18" i="16" s="1"/>
  <c r="C91" i="1"/>
  <c r="S13" i="1"/>
  <c r="I87" i="1"/>
  <c r="C93" i="1"/>
  <c r="T13" i="1"/>
  <c r="C99" i="1"/>
  <c r="X15" i="16" s="1"/>
  <c r="C65" i="1"/>
  <c r="I67" i="1" s="1"/>
  <c r="I61" i="1"/>
  <c r="C67" i="1"/>
  <c r="X11" i="1" s="1"/>
  <c r="S11" i="1"/>
  <c r="D65" i="1"/>
  <c r="S12" i="1"/>
  <c r="D67" i="1"/>
  <c r="K61" i="1"/>
  <c r="S14" i="1"/>
  <c r="D91" i="1"/>
  <c r="D93" i="1"/>
  <c r="K87" i="1"/>
  <c r="D119" i="1"/>
  <c r="K113" i="1"/>
  <c r="S16" i="1"/>
  <c r="D117" i="1"/>
  <c r="D39" i="1"/>
  <c r="C127" i="1"/>
  <c r="D143" i="1"/>
  <c r="U10" i="1"/>
  <c r="T14" i="1"/>
  <c r="I35" i="1"/>
  <c r="C41" i="1"/>
  <c r="C73" i="1"/>
  <c r="X13" i="16" s="1"/>
  <c r="D99" i="1"/>
  <c r="X16" i="16" s="1"/>
  <c r="I139" i="1"/>
  <c r="C145" i="1"/>
  <c r="K91" i="1"/>
  <c r="C117" i="1"/>
  <c r="S15" i="1"/>
  <c r="K35" i="1"/>
  <c r="D41" i="1"/>
  <c r="I63" i="1"/>
  <c r="D73" i="1"/>
  <c r="X14" i="16" s="1"/>
  <c r="I113" i="1"/>
  <c r="K139" i="1"/>
  <c r="D145" i="1"/>
  <c r="C23" i="1" l="1"/>
  <c r="I23" i="1" s="1"/>
  <c r="C22" i="1"/>
  <c r="I22" i="1" s="1"/>
  <c r="Y7" i="1"/>
  <c r="S19" i="11"/>
  <c r="U19" i="11" s="1"/>
  <c r="F211" i="23"/>
  <c r="U29" i="23" s="1"/>
  <c r="N31" i="23" s="1"/>
  <c r="Y19" i="11"/>
  <c r="V17" i="1"/>
  <c r="I154" i="1"/>
  <c r="AC19" i="16"/>
  <c r="I153" i="1"/>
  <c r="AB19" i="16"/>
  <c r="I128" i="1"/>
  <c r="AC17" i="16"/>
  <c r="I127" i="1"/>
  <c r="AB17" i="16"/>
  <c r="I102" i="1"/>
  <c r="AC15" i="16"/>
  <c r="I101" i="1"/>
  <c r="AB15" i="16"/>
  <c r="I75" i="1"/>
  <c r="AB13" i="16"/>
  <c r="I76" i="1"/>
  <c r="AC13" i="16"/>
  <c r="I49" i="1"/>
  <c r="AB11" i="16"/>
  <c r="I50" i="1"/>
  <c r="AC11" i="16"/>
  <c r="U9" i="16"/>
  <c r="U10" i="16"/>
  <c r="U14" i="16"/>
  <c r="U13" i="16"/>
  <c r="U12" i="16"/>
  <c r="C45" i="1"/>
  <c r="W11" i="16" s="1"/>
  <c r="U11" i="16"/>
  <c r="I145" i="1"/>
  <c r="F201" i="23"/>
  <c r="U8" i="23" s="1"/>
  <c r="N10" i="23" s="1"/>
  <c r="I123" i="1"/>
  <c r="F213" i="23"/>
  <c r="U39" i="23" s="1"/>
  <c r="N41" i="23" s="1"/>
  <c r="F203" i="23"/>
  <c r="U18" i="23" s="1"/>
  <c r="N21" i="23" s="1"/>
  <c r="I41" i="1"/>
  <c r="V9" i="1"/>
  <c r="I14" i="1"/>
  <c r="C13" i="1"/>
  <c r="I16" i="1" s="1"/>
  <c r="D13" i="1"/>
  <c r="K16" i="1" s="1"/>
  <c r="W24" i="11"/>
  <c r="U24" i="11"/>
  <c r="U23" i="11"/>
  <c r="W23" i="11"/>
  <c r="K14" i="1"/>
  <c r="W21" i="11"/>
  <c r="U21" i="11"/>
  <c r="W20" i="11"/>
  <c r="U20" i="11"/>
  <c r="W22" i="11"/>
  <c r="U22" i="11"/>
  <c r="C92" i="1"/>
  <c r="C103" i="1" s="1"/>
  <c r="Z15" i="16" s="1"/>
  <c r="V13" i="1"/>
  <c r="K18" i="1"/>
  <c r="X8" i="1"/>
  <c r="X7" i="1"/>
  <c r="I18" i="1"/>
  <c r="I93" i="1"/>
  <c r="I71" i="1"/>
  <c r="C66" i="1"/>
  <c r="I69" i="1" s="1"/>
  <c r="I97" i="1"/>
  <c r="X13" i="1"/>
  <c r="V11" i="1"/>
  <c r="C98" i="1"/>
  <c r="AA15" i="16" s="1"/>
  <c r="X12" i="1"/>
  <c r="K71" i="1"/>
  <c r="W17" i="1"/>
  <c r="C155" i="1"/>
  <c r="Z19" i="16" s="1"/>
  <c r="I147" i="1"/>
  <c r="V16" i="1"/>
  <c r="K119" i="1"/>
  <c r="D118" i="1"/>
  <c r="X9" i="1"/>
  <c r="I45" i="1"/>
  <c r="K149" i="1"/>
  <c r="X18" i="1"/>
  <c r="X17" i="1"/>
  <c r="I149" i="1"/>
  <c r="V18" i="1"/>
  <c r="K145" i="1"/>
  <c r="D144" i="1"/>
  <c r="K97" i="1"/>
  <c r="X14" i="1"/>
  <c r="C46" i="1"/>
  <c r="AA11" i="16" s="1"/>
  <c r="I119" i="1"/>
  <c r="V15" i="1"/>
  <c r="C118" i="1"/>
  <c r="V14" i="1"/>
  <c r="K93" i="1"/>
  <c r="D92" i="1"/>
  <c r="K45" i="1"/>
  <c r="X10" i="1"/>
  <c r="V10" i="1"/>
  <c r="D40" i="1"/>
  <c r="D45" i="1" s="1"/>
  <c r="W12" i="16" s="1"/>
  <c r="K41" i="1"/>
  <c r="K123" i="1"/>
  <c r="X16" i="1"/>
  <c r="K67" i="1"/>
  <c r="D66" i="1"/>
  <c r="D71" i="1" s="1"/>
  <c r="W14" i="16" s="1"/>
  <c r="V12" i="1"/>
  <c r="W9" i="1"/>
  <c r="I43" i="1"/>
  <c r="C51" i="1"/>
  <c r="Z11" i="16" s="1"/>
  <c r="C150" i="1"/>
  <c r="AA19" i="16" s="1"/>
  <c r="C149" i="1"/>
  <c r="W19" i="16" s="1"/>
  <c r="AB9" i="16" l="1"/>
  <c r="T25" i="11"/>
  <c r="AC9" i="16"/>
  <c r="W19" i="11"/>
  <c r="S25" i="11"/>
  <c r="Q31" i="23"/>
  <c r="C71" i="1"/>
  <c r="W13" i="16" s="1"/>
  <c r="Q10" i="23"/>
  <c r="Q21" i="23"/>
  <c r="Q41" i="23"/>
  <c r="W7" i="1"/>
  <c r="C72" i="1"/>
  <c r="AA13" i="16" s="1"/>
  <c r="C19" i="1"/>
  <c r="AA9" i="16" s="1"/>
  <c r="T9" i="16"/>
  <c r="C18" i="1"/>
  <c r="W9" i="16" s="1"/>
  <c r="C24" i="1"/>
  <c r="Z9" i="16" s="1"/>
  <c r="D19" i="1"/>
  <c r="AA10" i="16" s="1"/>
  <c r="T10" i="16"/>
  <c r="W8" i="1"/>
  <c r="D24" i="1"/>
  <c r="Z10" i="16" s="1"/>
  <c r="D18" i="1"/>
  <c r="W10" i="16" s="1"/>
  <c r="Q14" i="23"/>
  <c r="Q13" i="23"/>
  <c r="Q25" i="23"/>
  <c r="Q24" i="23"/>
  <c r="W13" i="1"/>
  <c r="C97" i="1"/>
  <c r="W15" i="16" s="1"/>
  <c r="I95" i="1"/>
  <c r="W11" i="1"/>
  <c r="C77" i="1"/>
  <c r="Z13" i="16" s="1"/>
  <c r="W12" i="1"/>
  <c r="D77" i="1"/>
  <c r="Z14" i="16" s="1"/>
  <c r="K69" i="1"/>
  <c r="K95" i="1"/>
  <c r="D103" i="1"/>
  <c r="Z16" i="16" s="1"/>
  <c r="W14" i="1"/>
  <c r="W18" i="1"/>
  <c r="D155" i="1"/>
  <c r="Z20" i="16" s="1"/>
  <c r="K147" i="1"/>
  <c r="D129" i="1"/>
  <c r="Z18" i="16" s="1"/>
  <c r="W16" i="1"/>
  <c r="K121" i="1"/>
  <c r="W10" i="1"/>
  <c r="D51" i="1"/>
  <c r="Z12" i="16" s="1"/>
  <c r="K43" i="1"/>
  <c r="D72" i="1"/>
  <c r="AA14" i="16" s="1"/>
  <c r="D98" i="1"/>
  <c r="AA16" i="16" s="1"/>
  <c r="D97" i="1"/>
  <c r="W16" i="16" s="1"/>
  <c r="C124" i="1"/>
  <c r="AA17" i="16" s="1"/>
  <c r="C123" i="1"/>
  <c r="W17" i="16" s="1"/>
  <c r="D46" i="1"/>
  <c r="AA12" i="16" s="1"/>
  <c r="C129" i="1"/>
  <c r="Z17" i="16" s="1"/>
  <c r="W15" i="1"/>
  <c r="I121" i="1"/>
  <c r="D150" i="1"/>
  <c r="AA20" i="16" s="1"/>
  <c r="D149" i="1"/>
  <c r="W20" i="16" s="1"/>
  <c r="D124" i="1"/>
  <c r="AA18" i="16" s="1"/>
  <c r="D123" i="1"/>
  <c r="W18" i="16" s="1"/>
  <c r="F13" i="11" l="1"/>
  <c r="N13" i="18" s="1"/>
  <c r="N3" i="19"/>
  <c r="M38" i="22" l="1"/>
  <c r="L38" i="22"/>
  <c r="K38" i="22"/>
  <c r="J38" i="22"/>
  <c r="C6" i="22" l="1"/>
  <c r="D6" i="22" s="1"/>
  <c r="J3" i="19"/>
  <c r="N8" i="19"/>
  <c r="P8" i="19" s="1"/>
  <c r="O8" i="19"/>
  <c r="Q8" i="19" s="1"/>
  <c r="O7" i="19"/>
  <c r="Q7" i="19" s="1"/>
  <c r="N7" i="19"/>
  <c r="P7" i="19" s="1"/>
  <c r="O6" i="19"/>
  <c r="Q6" i="19" s="1"/>
  <c r="N6" i="19"/>
  <c r="P6" i="19" s="1"/>
  <c r="O5" i="19"/>
  <c r="Q5" i="19" s="1"/>
  <c r="N5" i="19"/>
  <c r="P5" i="19" s="1"/>
  <c r="O4" i="19"/>
  <c r="Q4" i="19" s="1"/>
  <c r="N4" i="19"/>
  <c r="P4" i="19" s="1"/>
  <c r="O3" i="19"/>
  <c r="Q3" i="19" s="1"/>
  <c r="P3" i="19"/>
  <c r="W31" i="2"/>
  <c r="W30" i="2"/>
  <c r="W29" i="2"/>
  <c r="W28" i="2"/>
  <c r="W27" i="2"/>
  <c r="W26" i="2"/>
  <c r="V24" i="2"/>
  <c r="W24" i="2" s="1"/>
  <c r="V25" i="2"/>
  <c r="W25" i="2" s="1"/>
  <c r="V23" i="2"/>
  <c r="W23" i="2" s="1"/>
  <c r="W22" i="2"/>
  <c r="W21" i="2"/>
  <c r="W20" i="2"/>
  <c r="X27" i="21"/>
  <c r="U35" i="2" l="1"/>
  <c r="T11" i="24" s="1"/>
  <c r="U34" i="2"/>
  <c r="T10" i="24" s="1"/>
  <c r="M19" i="21"/>
  <c r="M29" i="21" l="1"/>
  <c r="M9" i="21"/>
  <c r="E29" i="21"/>
  <c r="E19" i="21"/>
  <c r="E9" i="21"/>
  <c r="V9" i="21"/>
  <c r="G152" i="21" l="1"/>
  <c r="V10" i="21" l="1"/>
  <c r="V11" i="21" s="1"/>
  <c r="M28" i="21"/>
  <c r="M27" i="21"/>
  <c r="M18" i="21"/>
  <c r="M17" i="21"/>
  <c r="M8" i="21"/>
  <c r="M7" i="21"/>
  <c r="E28" i="21"/>
  <c r="E27" i="21"/>
  <c r="E18" i="21"/>
  <c r="M30" i="21" l="1"/>
  <c r="M31" i="21" s="1"/>
  <c r="M32" i="21" s="1"/>
  <c r="Q29" i="24" s="1"/>
  <c r="E20" i="21"/>
  <c r="E21" i="21" s="1"/>
  <c r="E22" i="21" s="1"/>
  <c r="Q25" i="24" s="1"/>
  <c r="M10" i="21"/>
  <c r="M11" i="21" s="1"/>
  <c r="M12" i="21" s="1"/>
  <c r="E30" i="21"/>
  <c r="E31" i="21" s="1"/>
  <c r="E32" i="21" s="1"/>
  <c r="Q26" i="24" s="1"/>
  <c r="M20" i="21"/>
  <c r="M21" i="21" s="1"/>
  <c r="M22" i="21" s="1"/>
  <c r="Q28" i="24" s="1"/>
  <c r="E10" i="21"/>
  <c r="E11" i="21" s="1"/>
  <c r="E12" i="21" s="1"/>
  <c r="Q24" i="24" s="1"/>
  <c r="O27" i="24" l="1"/>
  <c r="Q27" i="24"/>
  <c r="O32" i="21"/>
  <c r="O29" i="24"/>
  <c r="O22" i="21"/>
  <c r="O28" i="24"/>
  <c r="O12" i="21"/>
  <c r="G32" i="21"/>
  <c r="O26" i="24"/>
  <c r="G22" i="21"/>
  <c r="O25" i="24"/>
  <c r="G12" i="21"/>
  <c r="O24" i="24"/>
  <c r="B310" i="18"/>
  <c r="B309" i="18"/>
  <c r="B308" i="18"/>
  <c r="B307" i="18"/>
  <c r="B306" i="18"/>
  <c r="Z112" i="24" l="1"/>
  <c r="Z103" i="24"/>
  <c r="Z102" i="24"/>
  <c r="Z101" i="24"/>
  <c r="Z100" i="24"/>
  <c r="Z107" i="24" l="1"/>
  <c r="Z108" i="24"/>
  <c r="Z105" i="24"/>
  <c r="Z110" i="24"/>
  <c r="Z109" i="24"/>
  <c r="AM44" i="18" l="1"/>
  <c r="O47" i="18" s="1"/>
  <c r="AF35" i="11"/>
  <c r="D52" i="18"/>
  <c r="D51" i="18"/>
  <c r="D49" i="18"/>
  <c r="D47" i="18"/>
  <c r="D48" i="18"/>
  <c r="AO44" i="18" l="1"/>
  <c r="Q47" i="18" s="1"/>
  <c r="AN44" i="18"/>
  <c r="P47" i="18" s="1"/>
  <c r="AH35" i="11"/>
  <c r="AG35" i="11"/>
  <c r="J22" i="20"/>
  <c r="J17" i="20"/>
  <c r="S9" i="18" l="1"/>
  <c r="S10" i="18" l="1"/>
  <c r="S7" i="18"/>
  <c r="S6" i="18"/>
  <c r="S5" i="18" l="1"/>
  <c r="S8" i="18"/>
  <c r="AM47" i="18"/>
  <c r="O50" i="18" s="1"/>
  <c r="AF38" i="11"/>
  <c r="AF37" i="11"/>
  <c r="AM46" i="18"/>
  <c r="O49" i="18" s="1"/>
  <c r="AF36" i="11"/>
  <c r="AM45" i="18"/>
  <c r="O48" i="18" s="1"/>
  <c r="AF40" i="11"/>
  <c r="AM49" i="18"/>
  <c r="O52" i="18" s="1"/>
  <c r="AM48" i="18"/>
  <c r="O51" i="18" s="1"/>
  <c r="AF39" i="11"/>
  <c r="AN48" i="18" l="1"/>
  <c r="P51" i="18" s="1"/>
  <c r="AO48" i="18"/>
  <c r="Q51" i="18" s="1"/>
  <c r="AO47" i="18"/>
  <c r="Q50" i="18" s="1"/>
  <c r="AN47" i="18"/>
  <c r="P50" i="18" s="1"/>
  <c r="AG39" i="11"/>
  <c r="AH39" i="11"/>
  <c r="AH38" i="11"/>
  <c r="AG38" i="11"/>
  <c r="AH37" i="11"/>
  <c r="AG37" i="11"/>
  <c r="AO46" i="18"/>
  <c r="Q49" i="18" s="1"/>
  <c r="AN46" i="18"/>
  <c r="P49" i="18" s="1"/>
  <c r="AG36" i="11"/>
  <c r="AH36" i="11"/>
  <c r="AO45" i="18"/>
  <c r="Q48" i="18" s="1"/>
  <c r="AN45" i="18"/>
  <c r="P48" i="18" s="1"/>
  <c r="AG40" i="11"/>
  <c r="AH40" i="11"/>
  <c r="AO49" i="18"/>
  <c r="Q52" i="18" s="1"/>
  <c r="AN49" i="18"/>
  <c r="P52" i="18" s="1"/>
  <c r="B5" i="19" l="1"/>
  <c r="D4" i="19" l="1"/>
  <c r="B7" i="19"/>
  <c r="D5" i="19"/>
  <c r="D7" i="19"/>
  <c r="B6" i="19"/>
  <c r="B8" i="19"/>
  <c r="B4" i="19"/>
  <c r="D6" i="19"/>
  <c r="D8" i="19"/>
  <c r="D3" i="19" l="1"/>
  <c r="B353" i="20"/>
  <c r="B3" i="19" l="1"/>
  <c r="C24" i="18"/>
  <c r="AP49" i="18" s="1"/>
  <c r="C23" i="18"/>
  <c r="AP48" i="18" s="1"/>
  <c r="C22" i="18"/>
  <c r="AP47" i="18" s="1"/>
  <c r="C21" i="18"/>
  <c r="AP46" i="18" s="1"/>
  <c r="C20" i="18"/>
  <c r="AP45" i="18" s="1"/>
  <c r="C19" i="18"/>
  <c r="AP44" i="18" s="1"/>
  <c r="R48" i="18" l="1"/>
  <c r="AQ45" i="18"/>
  <c r="S48" i="18" s="1"/>
  <c r="AQ47" i="18"/>
  <c r="S50" i="18" s="1"/>
  <c r="R50" i="18"/>
  <c r="R52" i="18"/>
  <c r="AQ49" i="18"/>
  <c r="S52" i="18" s="1"/>
  <c r="R49" i="18"/>
  <c r="AQ46" i="18"/>
  <c r="S49" i="18" s="1"/>
  <c r="R47" i="18"/>
  <c r="AQ44" i="18"/>
  <c r="AQ48" i="18"/>
  <c r="S51" i="18" s="1"/>
  <c r="R51" i="18"/>
  <c r="B5" i="18"/>
  <c r="B10" i="18"/>
  <c r="B6" i="18"/>
  <c r="B7" i="18"/>
  <c r="B9" i="18"/>
  <c r="B8" i="18"/>
  <c r="T36" i="18"/>
  <c r="V36" i="18" s="1"/>
  <c r="Y15" i="18"/>
  <c r="T37" i="18"/>
  <c r="V37" i="18" s="1"/>
  <c r="Y16" i="18"/>
  <c r="T35" i="18"/>
  <c r="V35" i="18" s="1"/>
  <c r="Y14" i="18"/>
  <c r="Y13" i="18"/>
  <c r="T34" i="18"/>
  <c r="V34" i="18" s="1"/>
  <c r="T33" i="18"/>
  <c r="V33" i="18" s="1"/>
  <c r="Y11" i="18"/>
  <c r="T32" i="18"/>
  <c r="V32" i="18" s="1"/>
  <c r="Y12" i="18"/>
  <c r="F19" i="18"/>
  <c r="F5" i="18" s="1"/>
  <c r="M7" i="18"/>
  <c r="D21" i="18"/>
  <c r="D7" i="18" s="1"/>
  <c r="D19" i="18"/>
  <c r="D5" i="18" s="1"/>
  <c r="M5" i="18"/>
  <c r="F20" i="18"/>
  <c r="F6" i="18" s="1"/>
  <c r="M6" i="18"/>
  <c r="D20" i="18"/>
  <c r="D6" i="18" s="1"/>
  <c r="F21" i="18"/>
  <c r="F7" i="18" s="1"/>
  <c r="D24" i="18"/>
  <c r="D10" i="18" s="1"/>
  <c r="F24" i="18"/>
  <c r="F10" i="18" s="1"/>
  <c r="M10" i="18"/>
  <c r="F22" i="18"/>
  <c r="F8" i="18" s="1"/>
  <c r="M8" i="18"/>
  <c r="D22" i="18"/>
  <c r="D8" i="18" s="1"/>
  <c r="F23" i="18"/>
  <c r="F9" i="18" s="1"/>
  <c r="D23" i="18"/>
  <c r="D9" i="18" s="1"/>
  <c r="M9" i="18"/>
  <c r="S47" i="18" l="1"/>
  <c r="Q305" i="18"/>
  <c r="Q302" i="18"/>
  <c r="Q301" i="18"/>
  <c r="Q300" i="18"/>
  <c r="Q304" i="18"/>
  <c r="Q303" i="18"/>
  <c r="Q7" i="18"/>
  <c r="O7" i="18"/>
  <c r="O9" i="18"/>
  <c r="Q9" i="18"/>
  <c r="O10" i="18"/>
  <c r="Q10" i="18"/>
  <c r="O5" i="18"/>
  <c r="Q5" i="18"/>
  <c r="O8" i="18"/>
  <c r="Q8" i="18"/>
  <c r="O6" i="18"/>
  <c r="Q6" i="18"/>
  <c r="B302" i="18"/>
  <c r="B303" i="18"/>
  <c r="B304" i="18"/>
  <c r="B300" i="18"/>
  <c r="B301" i="18"/>
  <c r="B312" i="18"/>
  <c r="B311" i="18"/>
  <c r="B314" i="18"/>
  <c r="B313" i="18"/>
  <c r="AG14" i="18"/>
  <c r="AI14" i="18" s="1"/>
  <c r="AA15" i="18"/>
  <c r="AA16" i="18"/>
  <c r="AG15" i="18"/>
  <c r="AI15" i="18" s="1"/>
  <c r="AG13" i="18"/>
  <c r="AI13" i="18" s="1"/>
  <c r="AA14" i="18"/>
  <c r="AG12" i="18"/>
  <c r="AI12" i="18" s="1"/>
  <c r="AA13" i="18"/>
  <c r="AA12" i="18"/>
  <c r="AG11" i="18"/>
  <c r="AI11" i="18" s="1"/>
  <c r="AG10" i="18"/>
  <c r="AI10" i="18" s="1"/>
  <c r="AA11" i="18"/>
  <c r="M304" i="18" l="1"/>
  <c r="M300" i="18"/>
  <c r="M303" i="18"/>
  <c r="M302" i="18"/>
  <c r="M301" i="18"/>
  <c r="M309" i="18"/>
  <c r="M308" i="18"/>
  <c r="M307" i="18"/>
  <c r="M306" i="18"/>
  <c r="M310" i="18"/>
  <c r="O32" i="4"/>
  <c r="K32" i="4"/>
  <c r="O30" i="4"/>
  <c r="K30" i="4"/>
  <c r="L29" i="4"/>
  <c r="L28" i="4"/>
  <c r="L30" i="4" l="1"/>
  <c r="K31" i="4"/>
  <c r="K33" i="4"/>
  <c r="O31" i="4"/>
  <c r="L32" i="4"/>
  <c r="L31" i="4"/>
  <c r="L33" i="4"/>
  <c r="O29" i="4"/>
  <c r="O33" i="4"/>
  <c r="O28" i="4"/>
  <c r="K29" i="4"/>
  <c r="K28" i="4"/>
  <c r="AE5" i="11"/>
  <c r="AE4" i="11"/>
  <c r="B303" i="11" l="1"/>
  <c r="B302" i="11"/>
  <c r="B301" i="11"/>
  <c r="B300" i="11"/>
  <c r="P29" i="4"/>
  <c r="W7" i="11" l="1"/>
  <c r="W6" i="11"/>
  <c r="W4" i="11"/>
  <c r="W8" i="11" l="1"/>
  <c r="Z111" i="24"/>
  <c r="Z104" i="24"/>
  <c r="W9" i="11"/>
  <c r="W5" i="11"/>
  <c r="AB101" i="24" l="1"/>
  <c r="N20" i="24" s="1"/>
  <c r="AB100" i="24"/>
  <c r="N19" i="24" s="1"/>
  <c r="AB108" i="24"/>
  <c r="Q20" i="24" s="1"/>
  <c r="AB107" i="24"/>
  <c r="Q19" i="24" s="1"/>
  <c r="H302" i="11"/>
  <c r="H303" i="11"/>
  <c r="H300" i="11"/>
  <c r="H301" i="11"/>
  <c r="C31" i="12"/>
  <c r="C30" i="12"/>
  <c r="F41" i="12" s="1"/>
  <c r="C29" i="12"/>
  <c r="F40" i="12" s="1"/>
  <c r="C28" i="12"/>
  <c r="F39" i="12" s="1"/>
  <c r="C27" i="12"/>
  <c r="F38" i="12" s="1"/>
  <c r="C26" i="12"/>
  <c r="H41" i="12" l="1"/>
  <c r="F33" i="20" s="1"/>
  <c r="E33" i="20"/>
  <c r="H40" i="12"/>
  <c r="F32" i="20" s="1"/>
  <c r="E32" i="20"/>
  <c r="H39" i="12"/>
  <c r="F31" i="20" s="1"/>
  <c r="E31" i="20"/>
  <c r="H38" i="12"/>
  <c r="F30" i="20" s="1"/>
  <c r="E30" i="20"/>
  <c r="F37" i="12"/>
  <c r="B35" i="12"/>
  <c r="N10" i="24" s="1"/>
  <c r="F42" i="12"/>
  <c r="B34" i="12"/>
  <c r="N11" i="24" s="1"/>
  <c r="F29" i="12"/>
  <c r="F28" i="12"/>
  <c r="F26" i="12"/>
  <c r="D26" i="12"/>
  <c r="F27" i="12"/>
  <c r="D27" i="12"/>
  <c r="F30" i="12"/>
  <c r="D30" i="12"/>
  <c r="F31" i="12"/>
  <c r="D31" i="12"/>
  <c r="D29" i="12"/>
  <c r="D28" i="12"/>
  <c r="H42" i="12" l="1"/>
  <c r="F34" i="20" s="1"/>
  <c r="E34" i="20"/>
  <c r="H37" i="12"/>
  <c r="F29" i="20" s="1"/>
  <c r="E29" i="20"/>
  <c r="H13" i="11" l="1"/>
  <c r="H14" i="11" s="1"/>
  <c r="G13" i="11"/>
  <c r="Q13" i="18" s="1"/>
  <c r="O13" i="11"/>
  <c r="O14" i="11" s="1"/>
  <c r="G14" i="11" l="1"/>
  <c r="S13" i="18"/>
  <c r="S14" i="18" s="1"/>
  <c r="D24" i="8"/>
  <c r="F39" i="16" l="1"/>
  <c r="F9" i="16" l="1"/>
  <c r="G25" i="3" l="1"/>
  <c r="M26" i="3"/>
  <c r="E31" i="16" l="1"/>
  <c r="F31" i="16" s="1"/>
  <c r="E30" i="16"/>
  <c r="F30" i="16" s="1"/>
  <c r="E29" i="16"/>
  <c r="F29" i="16" s="1"/>
  <c r="E28" i="16"/>
  <c r="F28" i="16" s="1"/>
  <c r="L28" i="16" l="1"/>
  <c r="H28" i="16"/>
  <c r="G28" i="16"/>
  <c r="L29" i="16"/>
  <c r="G29" i="16"/>
  <c r="H29" i="16"/>
  <c r="L30" i="16"/>
  <c r="G30" i="16"/>
  <c r="H30" i="16"/>
  <c r="E27" i="16"/>
  <c r="L27" i="16" s="1"/>
  <c r="L31" i="16"/>
  <c r="H31" i="16"/>
  <c r="G31" i="16"/>
  <c r="E26" i="16"/>
  <c r="D9" i="12"/>
  <c r="D8" i="12"/>
  <c r="K34" i="20" s="1"/>
  <c r="D9" i="3"/>
  <c r="E47" i="3" s="1"/>
  <c r="F47" i="3" s="1"/>
  <c r="D8" i="3"/>
  <c r="E46" i="3" l="1"/>
  <c r="F46" i="3" s="1"/>
  <c r="P8" i="3"/>
  <c r="A296" i="12"/>
  <c r="K35" i="20"/>
  <c r="G27" i="16"/>
  <c r="H27" i="16"/>
  <c r="F27" i="16"/>
  <c r="L26" i="16"/>
  <c r="F26" i="16"/>
  <c r="G26" i="16"/>
  <c r="H26" i="16"/>
  <c r="F15" i="12"/>
  <c r="L41" i="20" s="1"/>
  <c r="F14" i="12"/>
  <c r="L40" i="20" s="1"/>
  <c r="E15" i="3"/>
  <c r="E14" i="3"/>
  <c r="E15" i="12"/>
  <c r="E14" i="12"/>
  <c r="F13" i="12"/>
  <c r="L39" i="20" s="1"/>
  <c r="F12" i="12"/>
  <c r="L38" i="20" s="1"/>
  <c r="E13" i="3"/>
  <c r="E12" i="3"/>
  <c r="E13" i="12"/>
  <c r="E12" i="12"/>
  <c r="H7" i="11"/>
  <c r="F7" i="11"/>
  <c r="F11" i="12"/>
  <c r="L37" i="20" s="1"/>
  <c r="F10" i="12"/>
  <c r="L36" i="20" s="1"/>
  <c r="E11" i="3"/>
  <c r="E10" i="3"/>
  <c r="E11" i="12"/>
  <c r="E10" i="12"/>
  <c r="G6" i="11"/>
  <c r="H5" i="11"/>
  <c r="F5" i="11"/>
  <c r="E6" i="5"/>
  <c r="F7" i="12"/>
  <c r="L33" i="20" s="1"/>
  <c r="F6" i="12"/>
  <c r="L32" i="20" s="1"/>
  <c r="E7" i="3"/>
  <c r="E6" i="3"/>
  <c r="E7" i="12"/>
  <c r="E6" i="12"/>
  <c r="E10" i="6" l="1"/>
  <c r="I28" i="16"/>
  <c r="K28" i="16"/>
  <c r="E7" i="5"/>
  <c r="K27" i="16"/>
  <c r="I27" i="16"/>
  <c r="E15" i="4"/>
  <c r="I31" i="16"/>
  <c r="K31" i="16"/>
  <c r="E11" i="6"/>
  <c r="E11" i="4"/>
  <c r="K29" i="16"/>
  <c r="I29" i="16"/>
  <c r="K30" i="16"/>
  <c r="I30" i="16"/>
  <c r="E13" i="4"/>
  <c r="E12" i="6"/>
  <c r="E6" i="6"/>
  <c r="E7" i="6"/>
  <c r="E7" i="4"/>
  <c r="E14" i="6"/>
  <c r="I6" i="11"/>
  <c r="E10" i="9"/>
  <c r="I7" i="11"/>
  <c r="E12" i="4"/>
  <c r="I8" i="11"/>
  <c r="E14" i="7"/>
  <c r="I9" i="11"/>
  <c r="E6" i="9"/>
  <c r="I5" i="11"/>
  <c r="D9" i="4"/>
  <c r="Q6" i="4" s="1"/>
  <c r="E11" i="9"/>
  <c r="E7" i="9"/>
  <c r="E6" i="11"/>
  <c r="E14" i="4"/>
  <c r="H8" i="11"/>
  <c r="G8" i="11"/>
  <c r="M12" i="11" s="1"/>
  <c r="F8" i="11"/>
  <c r="E8" i="11"/>
  <c r="L12" i="11" s="1"/>
  <c r="E10" i="4"/>
  <c r="E11" i="5"/>
  <c r="H9" i="11"/>
  <c r="G9" i="11"/>
  <c r="F9" i="11"/>
  <c r="E9" i="11"/>
  <c r="D9" i="6"/>
  <c r="D12" i="5"/>
  <c r="D14" i="5"/>
  <c r="D8" i="5"/>
  <c r="E13" i="5"/>
  <c r="D13" i="5"/>
  <c r="P9" i="5" s="1"/>
  <c r="E15" i="5"/>
  <c r="D15" i="5"/>
  <c r="P10" i="5" s="1"/>
  <c r="D9" i="5"/>
  <c r="P7" i="5" s="1"/>
  <c r="D12" i="4"/>
  <c r="D12" i="6"/>
  <c r="R8" i="6" s="1"/>
  <c r="D14" i="4"/>
  <c r="D14" i="6"/>
  <c r="R9" i="6" s="1"/>
  <c r="D8" i="4"/>
  <c r="D8" i="6"/>
  <c r="R6" i="6" s="1"/>
  <c r="D13" i="4"/>
  <c r="Q8" i="4" s="1"/>
  <c r="E13" i="6"/>
  <c r="D13" i="6"/>
  <c r="D15" i="4"/>
  <c r="Q9" i="4" s="1"/>
  <c r="E15" i="6"/>
  <c r="D15" i="6"/>
  <c r="E10" i="7"/>
  <c r="E14" i="5"/>
  <c r="J31" i="16"/>
  <c r="E12" i="5"/>
  <c r="J30" i="16"/>
  <c r="E10" i="5"/>
  <c r="J29" i="16"/>
  <c r="E6" i="4"/>
  <c r="P8" i="6" l="1"/>
  <c r="S8" i="6"/>
  <c r="P9" i="6"/>
  <c r="S9" i="6"/>
  <c r="P6" i="6"/>
  <c r="S6" i="6"/>
  <c r="D14" i="8"/>
  <c r="D14" i="7"/>
  <c r="U10" i="11"/>
  <c r="J28" i="16"/>
  <c r="B352" i="20"/>
  <c r="J27" i="16"/>
  <c r="D9" i="9"/>
  <c r="Q6" i="9" s="1"/>
  <c r="E14" i="9"/>
  <c r="D14" i="9"/>
  <c r="D9" i="7"/>
  <c r="Q6" i="7" s="1"/>
  <c r="E15" i="9"/>
  <c r="D15" i="9"/>
  <c r="Q9" i="9" s="1"/>
  <c r="D12" i="7"/>
  <c r="E12" i="9"/>
  <c r="D12" i="9"/>
  <c r="D15" i="7"/>
  <c r="Q9" i="7" s="1"/>
  <c r="D8" i="9"/>
  <c r="E7" i="7"/>
  <c r="D8" i="7"/>
  <c r="D13" i="7"/>
  <c r="Q8" i="7" s="1"/>
  <c r="E13" i="9"/>
  <c r="D13" i="9"/>
  <c r="Q8" i="9" s="1"/>
  <c r="B356" i="20"/>
  <c r="E15" i="7"/>
  <c r="B355" i="20"/>
  <c r="E13" i="7"/>
  <c r="B354" i="20"/>
  <c r="E11" i="7"/>
  <c r="E8" i="7"/>
  <c r="E6" i="7"/>
  <c r="D50" i="18" l="1"/>
  <c r="E12" i="8"/>
  <c r="E12" i="7"/>
  <c r="E14" i="8"/>
  <c r="Q14" i="18"/>
  <c r="D12" i="8"/>
  <c r="E10" i="8"/>
  <c r="E7" i="8"/>
  <c r="D13" i="8"/>
  <c r="Q8" i="8" s="1"/>
  <c r="D8" i="8"/>
  <c r="D15" i="8"/>
  <c r="Q9" i="8" s="1"/>
  <c r="D9" i="8"/>
  <c r="Q6" i="8" s="1"/>
  <c r="E15" i="8"/>
  <c r="E13" i="8"/>
  <c r="E11" i="8"/>
  <c r="E6" i="8"/>
  <c r="D4" i="3" l="1"/>
  <c r="E42" i="3" l="1"/>
  <c r="F42" i="3" s="1"/>
  <c r="O15" i="3"/>
  <c r="L9" i="3"/>
  <c r="H4" i="11" l="1"/>
  <c r="G4" i="11"/>
  <c r="M4" i="11" s="1"/>
  <c r="G5" i="11"/>
  <c r="M6" i="11" s="1"/>
  <c r="H6" i="11"/>
  <c r="M8" i="11"/>
  <c r="G7" i="11"/>
  <c r="M10" i="11" s="1"/>
  <c r="E4" i="11"/>
  <c r="L4" i="11" s="1"/>
  <c r="E5" i="11"/>
  <c r="L6" i="11" s="1"/>
  <c r="L8" i="11"/>
  <c r="E7" i="11"/>
  <c r="L10" i="11" s="1"/>
  <c r="P8" i="11" l="1"/>
  <c r="P7" i="11"/>
  <c r="P6" i="11"/>
  <c r="M9" i="11"/>
  <c r="P5" i="11"/>
  <c r="M7" i="11"/>
  <c r="P4" i="11"/>
  <c r="M5" i="11"/>
  <c r="P9" i="11"/>
  <c r="O9" i="11"/>
  <c r="O8" i="11"/>
  <c r="O6" i="11"/>
  <c r="L9" i="11"/>
  <c r="O4" i="11"/>
  <c r="L5" i="11"/>
  <c r="O7" i="11"/>
  <c r="O5" i="11"/>
  <c r="L7" i="11"/>
  <c r="P11" i="16" l="1"/>
  <c r="P13" i="16"/>
  <c r="P15" i="16"/>
  <c r="P17" i="16"/>
  <c r="P19" i="16"/>
  <c r="P9" i="16"/>
  <c r="N11" i="16"/>
  <c r="AD11" i="16" s="1"/>
  <c r="N12" i="16"/>
  <c r="N13" i="16"/>
  <c r="AD13" i="16" s="1"/>
  <c r="N14" i="16"/>
  <c r="N15" i="16"/>
  <c r="AD15" i="16" s="1"/>
  <c r="N16" i="16"/>
  <c r="N17" i="16"/>
  <c r="AD17" i="16" s="1"/>
  <c r="N18" i="16"/>
  <c r="N19" i="16"/>
  <c r="AD19" i="16" s="1"/>
  <c r="N20" i="16"/>
  <c r="N10" i="16"/>
  <c r="N9" i="16"/>
  <c r="AD9" i="16" s="1"/>
  <c r="F13" i="16"/>
  <c r="F15" i="16"/>
  <c r="F17" i="16"/>
  <c r="F19" i="16"/>
  <c r="F11" i="16"/>
  <c r="G6" i="3"/>
  <c r="G8" i="3"/>
  <c r="G10" i="3"/>
  <c r="G12" i="3"/>
  <c r="G14" i="3"/>
  <c r="G4" i="3"/>
  <c r="F15" i="3"/>
  <c r="F14" i="3"/>
  <c r="F13" i="3"/>
  <c r="F12" i="3"/>
  <c r="F11" i="3"/>
  <c r="F10" i="3"/>
  <c r="F9" i="3"/>
  <c r="F8" i="3"/>
  <c r="F7" i="3"/>
  <c r="F6" i="3"/>
  <c r="F5" i="3"/>
  <c r="F4" i="3"/>
  <c r="AF17" i="16" l="1"/>
  <c r="O30" i="16"/>
  <c r="AF15" i="16"/>
  <c r="O29" i="16"/>
  <c r="AF9" i="16"/>
  <c r="O26" i="16"/>
  <c r="AF13" i="16"/>
  <c r="O28" i="16"/>
  <c r="AF19" i="16"/>
  <c r="O31" i="16"/>
  <c r="AF11" i="16"/>
  <c r="O27" i="16"/>
  <c r="M26" i="16"/>
  <c r="AD10" i="16"/>
  <c r="M27" i="16"/>
  <c r="AD12" i="16"/>
  <c r="M28" i="16"/>
  <c r="AD14" i="16"/>
  <c r="M31" i="16"/>
  <c r="AD20" i="16"/>
  <c r="M30" i="16"/>
  <c r="AD18" i="16"/>
  <c r="M29" i="16"/>
  <c r="AD16" i="16"/>
  <c r="E20" i="16"/>
  <c r="E19" i="16"/>
  <c r="E18" i="16"/>
  <c r="E17" i="16"/>
  <c r="E16" i="16"/>
  <c r="E15" i="16"/>
  <c r="E14" i="16"/>
  <c r="E13" i="16"/>
  <c r="E12" i="16"/>
  <c r="E11" i="16"/>
  <c r="E10" i="16"/>
  <c r="E9" i="16"/>
  <c r="D20" i="16"/>
  <c r="D19" i="16"/>
  <c r="D18" i="16"/>
  <c r="D17" i="16"/>
  <c r="D16" i="16"/>
  <c r="D15" i="16"/>
  <c r="D14" i="16"/>
  <c r="D13" i="16"/>
  <c r="D12" i="16"/>
  <c r="D11" i="16"/>
  <c r="D10" i="16"/>
  <c r="D9" i="16"/>
  <c r="H9" i="16" l="1"/>
  <c r="G20" i="16" l="1"/>
  <c r="H20" i="16"/>
  <c r="I20" i="16"/>
  <c r="G19" i="16"/>
  <c r="H19" i="16"/>
  <c r="I19" i="16"/>
  <c r="G18" i="16"/>
  <c r="H18" i="16"/>
  <c r="I18" i="16"/>
  <c r="G17" i="16"/>
  <c r="H17" i="16"/>
  <c r="I17" i="16"/>
  <c r="G16" i="16"/>
  <c r="I16" i="16"/>
  <c r="G15" i="16"/>
  <c r="H15" i="16"/>
  <c r="I15" i="16"/>
  <c r="G13" i="16"/>
  <c r="H13" i="16"/>
  <c r="I13" i="16"/>
  <c r="G14" i="16"/>
  <c r="H14" i="16"/>
  <c r="I14" i="16"/>
  <c r="G12" i="16"/>
  <c r="I12" i="16"/>
  <c r="G11" i="16"/>
  <c r="H11" i="16"/>
  <c r="I11" i="16"/>
  <c r="L18" i="16"/>
  <c r="L20" i="16"/>
  <c r="L14" i="16"/>
  <c r="H16" i="16" l="1"/>
  <c r="H12" i="16"/>
  <c r="K16" i="16"/>
  <c r="K18" i="16"/>
  <c r="K12" i="16"/>
  <c r="M11" i="16"/>
  <c r="L12" i="16"/>
  <c r="L11" i="16"/>
  <c r="J11" i="16"/>
  <c r="J12" i="16"/>
  <c r="L19" i="16"/>
  <c r="M19" i="16"/>
  <c r="J20" i="16"/>
  <c r="J19" i="16"/>
  <c r="L9" i="8"/>
  <c r="K20" i="16"/>
  <c r="M17" i="16"/>
  <c r="J18" i="16"/>
  <c r="L17" i="16"/>
  <c r="J17" i="16"/>
  <c r="L15" i="16"/>
  <c r="M15" i="16"/>
  <c r="J16" i="16"/>
  <c r="J15" i="16"/>
  <c r="L16" i="16"/>
  <c r="L13" i="16"/>
  <c r="J14" i="16"/>
  <c r="M13" i="16"/>
  <c r="J13" i="16"/>
  <c r="D10" i="8"/>
  <c r="K17" i="16" l="1"/>
  <c r="K15" i="16"/>
  <c r="K13" i="16"/>
  <c r="K14" i="16"/>
  <c r="K11" i="16"/>
  <c r="K19" i="16"/>
  <c r="L9" i="5" l="1"/>
  <c r="L8" i="5"/>
  <c r="K8" i="5"/>
  <c r="D11" i="5"/>
  <c r="D10" i="5"/>
  <c r="K7" i="5" s="1"/>
  <c r="L6" i="5"/>
  <c r="K6" i="5"/>
  <c r="D7" i="5"/>
  <c r="D6" i="5"/>
  <c r="K5" i="5" s="1"/>
  <c r="D11" i="6"/>
  <c r="S7" i="6" s="1"/>
  <c r="D10" i="6"/>
  <c r="R7" i="6" s="1"/>
  <c r="D7" i="6"/>
  <c r="S5" i="6" s="1"/>
  <c r="D6" i="6"/>
  <c r="R5" i="6" s="1"/>
  <c r="K9" i="8"/>
  <c r="L8" i="8"/>
  <c r="K8" i="8"/>
  <c r="D11" i="8"/>
  <c r="K7" i="8"/>
  <c r="L6" i="8"/>
  <c r="K6" i="8"/>
  <c r="D7" i="8"/>
  <c r="L5" i="5" l="1"/>
  <c r="P6" i="5"/>
  <c r="L7" i="5"/>
  <c r="P8" i="5"/>
  <c r="P5" i="6"/>
  <c r="P7" i="6"/>
  <c r="L5" i="8"/>
  <c r="Q5" i="8"/>
  <c r="L7" i="8"/>
  <c r="Q7" i="8"/>
  <c r="K9" i="5"/>
  <c r="D6" i="8"/>
  <c r="K5" i="8" s="1"/>
  <c r="E4" i="6" l="1"/>
  <c r="K26" i="16"/>
  <c r="I9" i="16"/>
  <c r="I4" i="11"/>
  <c r="G9" i="16"/>
  <c r="I10" i="16"/>
  <c r="I26" i="16"/>
  <c r="G10" i="16"/>
  <c r="D5" i="5"/>
  <c r="D5" i="6"/>
  <c r="S4" i="6" s="1"/>
  <c r="D4" i="6"/>
  <c r="R4" i="6" s="1"/>
  <c r="D4" i="5"/>
  <c r="L9" i="16"/>
  <c r="F5" i="9"/>
  <c r="F6" i="9"/>
  <c r="F7" i="9"/>
  <c r="F8" i="9"/>
  <c r="F9" i="9"/>
  <c r="F10" i="9"/>
  <c r="F11" i="9"/>
  <c r="F12" i="9"/>
  <c r="F13" i="9"/>
  <c r="F14" i="9"/>
  <c r="F15" i="9"/>
  <c r="F4" i="9"/>
  <c r="F5" i="8"/>
  <c r="F6" i="8"/>
  <c r="F7" i="8"/>
  <c r="F8" i="8"/>
  <c r="F9" i="8"/>
  <c r="F10" i="8"/>
  <c r="F11" i="8"/>
  <c r="F12" i="8"/>
  <c r="F13" i="8"/>
  <c r="F14" i="8"/>
  <c r="F15" i="8"/>
  <c r="F4" i="8"/>
  <c r="G4" i="12"/>
  <c r="F5" i="7"/>
  <c r="F6" i="7"/>
  <c r="F7" i="7"/>
  <c r="F8" i="7"/>
  <c r="F9" i="7"/>
  <c r="F10" i="7"/>
  <c r="F11" i="7"/>
  <c r="F12" i="7"/>
  <c r="F13" i="7"/>
  <c r="F14" i="7"/>
  <c r="F15" i="7"/>
  <c r="F4" i="7"/>
  <c r="F5" i="6"/>
  <c r="F6" i="6"/>
  <c r="F7" i="6"/>
  <c r="F8" i="6"/>
  <c r="F9" i="6"/>
  <c r="F10" i="6"/>
  <c r="F11" i="6"/>
  <c r="F12" i="6"/>
  <c r="F13" i="6"/>
  <c r="F14" i="6"/>
  <c r="F15" i="6"/>
  <c r="F4" i="6"/>
  <c r="F15" i="5"/>
  <c r="F5" i="5"/>
  <c r="F6" i="5"/>
  <c r="F7" i="5"/>
  <c r="F8" i="5"/>
  <c r="F9" i="5"/>
  <c r="F10" i="5"/>
  <c r="F11" i="5"/>
  <c r="F12" i="5"/>
  <c r="F13" i="5"/>
  <c r="F14" i="5"/>
  <c r="G6" i="5"/>
  <c r="G8" i="5"/>
  <c r="G10" i="5"/>
  <c r="G12" i="5"/>
  <c r="G14" i="5"/>
  <c r="G4" i="5"/>
  <c r="F4" i="5"/>
  <c r="F5" i="4"/>
  <c r="F6" i="4"/>
  <c r="F7" i="4"/>
  <c r="F8" i="4"/>
  <c r="F9" i="4"/>
  <c r="F10" i="4"/>
  <c r="F11" i="4"/>
  <c r="F12" i="4"/>
  <c r="F13" i="4"/>
  <c r="F14" i="4"/>
  <c r="F15" i="4"/>
  <c r="F4" i="4"/>
  <c r="H14" i="12"/>
  <c r="H31" i="12" s="1"/>
  <c r="H12" i="12"/>
  <c r="H30" i="12" s="1"/>
  <c r="H10" i="12"/>
  <c r="H29" i="12" s="1"/>
  <c r="H8" i="12"/>
  <c r="H28" i="12" s="1"/>
  <c r="H6" i="12"/>
  <c r="H27" i="12" s="1"/>
  <c r="G15" i="12"/>
  <c r="G14" i="12"/>
  <c r="G13" i="12"/>
  <c r="G12" i="12"/>
  <c r="G11" i="12"/>
  <c r="G10" i="12"/>
  <c r="G9" i="12"/>
  <c r="G8" i="12"/>
  <c r="G7" i="12"/>
  <c r="G6" i="12"/>
  <c r="G5" i="12"/>
  <c r="H4" i="12"/>
  <c r="H26" i="12" s="1"/>
  <c r="D15" i="12"/>
  <c r="K41" i="20" s="1"/>
  <c r="D14" i="12"/>
  <c r="K40" i="20" s="1"/>
  <c r="D13" i="12"/>
  <c r="K39" i="20" s="1"/>
  <c r="D12" i="12"/>
  <c r="D11" i="12"/>
  <c r="K37" i="20" s="1"/>
  <c r="D10" i="12"/>
  <c r="K7" i="12"/>
  <c r="L7" i="12"/>
  <c r="D7" i="12"/>
  <c r="K33" i="20" s="1"/>
  <c r="D6" i="12"/>
  <c r="D5" i="12"/>
  <c r="K31" i="20" s="1"/>
  <c r="D4" i="12"/>
  <c r="D15" i="3"/>
  <c r="E53" i="3" s="1"/>
  <c r="F53" i="3" s="1"/>
  <c r="D14" i="3"/>
  <c r="D13" i="3"/>
  <c r="E51" i="3" s="1"/>
  <c r="F51" i="3" s="1"/>
  <c r="D12" i="3"/>
  <c r="D11" i="3"/>
  <c r="E49" i="3" s="1"/>
  <c r="F49" i="3" s="1"/>
  <c r="D10" i="3"/>
  <c r="E9" i="6"/>
  <c r="E8" i="6"/>
  <c r="E9" i="5"/>
  <c r="E8" i="5"/>
  <c r="F9" i="12"/>
  <c r="L35" i="20" s="1"/>
  <c r="F8" i="12"/>
  <c r="L34" i="20" s="1"/>
  <c r="E9" i="3"/>
  <c r="E8" i="3"/>
  <c r="E9" i="12"/>
  <c r="E8" i="12"/>
  <c r="D7" i="3"/>
  <c r="E45" i="3" s="1"/>
  <c r="F45" i="3" s="1"/>
  <c r="D6" i="3"/>
  <c r="D5" i="3"/>
  <c r="P4" i="3" s="1"/>
  <c r="G7" i="2"/>
  <c r="E7" i="2"/>
  <c r="E52" i="3" l="1"/>
  <c r="F52" i="3" s="1"/>
  <c r="P14" i="3"/>
  <c r="E50" i="3"/>
  <c r="F50" i="3" s="1"/>
  <c r="P12" i="3"/>
  <c r="E48" i="3"/>
  <c r="F48" i="3" s="1"/>
  <c r="P10" i="3"/>
  <c r="P6" i="3"/>
  <c r="E43" i="3"/>
  <c r="F43" i="3" s="1"/>
  <c r="E17" i="6"/>
  <c r="F17" i="6"/>
  <c r="F18" i="6"/>
  <c r="E18" i="6"/>
  <c r="L5" i="12"/>
  <c r="K38" i="20"/>
  <c r="L6" i="12"/>
  <c r="K36" i="20"/>
  <c r="L8" i="12"/>
  <c r="K32" i="20"/>
  <c r="L9" i="12"/>
  <c r="K30" i="20"/>
  <c r="H10" i="16"/>
  <c r="K4" i="12"/>
  <c r="A299" i="12"/>
  <c r="K5" i="12"/>
  <c r="A298" i="12"/>
  <c r="K6" i="12"/>
  <c r="A297" i="12"/>
  <c r="K8" i="12"/>
  <c r="A295" i="12"/>
  <c r="K9" i="12"/>
  <c r="A294" i="12"/>
  <c r="C293" i="12"/>
  <c r="L8" i="3"/>
  <c r="E44" i="3"/>
  <c r="F44" i="3" s="1"/>
  <c r="P4" i="6"/>
  <c r="P10" i="6" s="1"/>
  <c r="L4" i="5"/>
  <c r="F18" i="5" s="1"/>
  <c r="P5" i="5"/>
  <c r="J26" i="16"/>
  <c r="L10" i="16"/>
  <c r="O5" i="3"/>
  <c r="L4" i="3"/>
  <c r="O6" i="3"/>
  <c r="K5" i="3"/>
  <c r="O4" i="3"/>
  <c r="K4" i="3"/>
  <c r="O7" i="3"/>
  <c r="L5" i="3"/>
  <c r="O8" i="3"/>
  <c r="K6" i="3"/>
  <c r="O9" i="3"/>
  <c r="L6" i="3"/>
  <c r="O10" i="3"/>
  <c r="K7" i="3"/>
  <c r="O11" i="3"/>
  <c r="L7" i="3"/>
  <c r="O12" i="3"/>
  <c r="K8" i="3"/>
  <c r="O14" i="3"/>
  <c r="K9" i="3"/>
  <c r="O13" i="3"/>
  <c r="K4" i="5"/>
  <c r="L4" i="12"/>
  <c r="M9" i="16"/>
  <c r="J9" i="16"/>
  <c r="J10" i="16"/>
  <c r="B351" i="20"/>
  <c r="D6" i="4"/>
  <c r="K5" i="4" s="1"/>
  <c r="K6" i="4"/>
  <c r="D11" i="4"/>
  <c r="L6" i="4"/>
  <c r="L9" i="4"/>
  <c r="D7" i="4"/>
  <c r="L8" i="4"/>
  <c r="K8" i="4"/>
  <c r="D10" i="4"/>
  <c r="K7" i="4" s="1"/>
  <c r="K9" i="7"/>
  <c r="L9" i="7"/>
  <c r="L8" i="7"/>
  <c r="K8" i="7"/>
  <c r="D11" i="7"/>
  <c r="D10" i="7"/>
  <c r="K7" i="7" s="1"/>
  <c r="E9" i="4"/>
  <c r="L6" i="7"/>
  <c r="E8" i="4"/>
  <c r="K6" i="7"/>
  <c r="D7" i="7"/>
  <c r="D6" i="7"/>
  <c r="K5" i="7" s="1"/>
  <c r="G8" i="2"/>
  <c r="G9" i="2"/>
  <c r="G10" i="2"/>
  <c r="G11" i="2"/>
  <c r="G12" i="2"/>
  <c r="G13" i="2"/>
  <c r="G14" i="2"/>
  <c r="G15" i="2"/>
  <c r="G16" i="2"/>
  <c r="G17" i="2"/>
  <c r="G18" i="2"/>
  <c r="E8" i="2"/>
  <c r="E9" i="2"/>
  <c r="E10" i="2"/>
  <c r="E11" i="2"/>
  <c r="E12" i="2"/>
  <c r="E13" i="2"/>
  <c r="E14" i="2"/>
  <c r="E15" i="2"/>
  <c r="E16" i="2"/>
  <c r="E17" i="2"/>
  <c r="E18" i="2"/>
  <c r="G17" i="12" l="1"/>
  <c r="I17" i="12" s="1"/>
  <c r="H10" i="24" s="1"/>
  <c r="H18" i="6"/>
  <c r="H27" i="24" s="1"/>
  <c r="E27" i="24"/>
  <c r="H18" i="5"/>
  <c r="H35" i="24" s="1"/>
  <c r="E35" i="24"/>
  <c r="F18" i="12"/>
  <c r="G18" i="12"/>
  <c r="B310" i="5"/>
  <c r="B309" i="5"/>
  <c r="B308" i="5"/>
  <c r="B307" i="5"/>
  <c r="C294" i="12"/>
  <c r="C295" i="12" s="1"/>
  <c r="C352" i="20"/>
  <c r="C351" i="20"/>
  <c r="E18" i="5"/>
  <c r="D29" i="5" s="1"/>
  <c r="L7" i="4"/>
  <c r="Q7" i="4"/>
  <c r="L7" i="7"/>
  <c r="Q7" i="7"/>
  <c r="L5" i="4"/>
  <c r="Q5" i="4"/>
  <c r="P4" i="5"/>
  <c r="P11" i="5"/>
  <c r="P3" i="6"/>
  <c r="L5" i="7"/>
  <c r="Q5" i="7"/>
  <c r="F17" i="12"/>
  <c r="F17" i="3"/>
  <c r="E17" i="3"/>
  <c r="E18" i="3"/>
  <c r="F18" i="3"/>
  <c r="E17" i="5"/>
  <c r="F17" i="5"/>
  <c r="K9" i="4"/>
  <c r="K10" i="16"/>
  <c r="K9" i="16"/>
  <c r="D5" i="8"/>
  <c r="D4" i="8"/>
  <c r="K4" i="8" s="1"/>
  <c r="F6" i="11"/>
  <c r="E8" i="9"/>
  <c r="K6" i="9"/>
  <c r="L9" i="9"/>
  <c r="D7" i="9"/>
  <c r="E9" i="9"/>
  <c r="L6" i="9"/>
  <c r="D10" i="9"/>
  <c r="K7" i="9" s="1"/>
  <c r="K8" i="9"/>
  <c r="D11" i="9"/>
  <c r="L8" i="9"/>
  <c r="K9" i="9"/>
  <c r="D6" i="9"/>
  <c r="K5" i="9" s="1"/>
  <c r="E9" i="7"/>
  <c r="Q14" i="2"/>
  <c r="O15" i="2"/>
  <c r="O14" i="2"/>
  <c r="O13" i="2"/>
  <c r="O12" i="2"/>
  <c r="O11" i="2"/>
  <c r="O10" i="2"/>
  <c r="O9" i="2"/>
  <c r="O8" i="2"/>
  <c r="O7" i="2"/>
  <c r="O6" i="2"/>
  <c r="O5" i="2"/>
  <c r="O4" i="2"/>
  <c r="O3" i="2"/>
  <c r="D34" i="24" l="1"/>
  <c r="D28" i="5"/>
  <c r="E10" i="24"/>
  <c r="H18" i="12"/>
  <c r="D11" i="24"/>
  <c r="H18" i="3"/>
  <c r="H7" i="24" s="1"/>
  <c r="E7" i="24"/>
  <c r="G17" i="3"/>
  <c r="D6" i="24"/>
  <c r="G18" i="6"/>
  <c r="F27" i="24" s="1"/>
  <c r="D27" i="24"/>
  <c r="I18" i="12"/>
  <c r="H11" i="24" s="1"/>
  <c r="E11" i="24"/>
  <c r="G18" i="3"/>
  <c r="D7" i="24"/>
  <c r="H17" i="3"/>
  <c r="H6" i="24" s="1"/>
  <c r="E6" i="24"/>
  <c r="H17" i="5"/>
  <c r="H34" i="24" s="1"/>
  <c r="E34" i="24"/>
  <c r="H17" i="6"/>
  <c r="H26" i="24" s="1"/>
  <c r="E26" i="24"/>
  <c r="H17" i="12"/>
  <c r="D10" i="24"/>
  <c r="G17" i="6"/>
  <c r="F26" i="24" s="1"/>
  <c r="D26" i="24"/>
  <c r="G18" i="5"/>
  <c r="D35" i="24"/>
  <c r="C353" i="20"/>
  <c r="G17" i="5"/>
  <c r="L7" i="9"/>
  <c r="Q7" i="9"/>
  <c r="L5" i="9"/>
  <c r="Q5" i="9"/>
  <c r="F23" i="5"/>
  <c r="F20" i="6"/>
  <c r="G20" i="6" s="1"/>
  <c r="L4" i="8"/>
  <c r="D18" i="8" s="1"/>
  <c r="Q4" i="8"/>
  <c r="D17" i="8"/>
  <c r="E17" i="8"/>
  <c r="P11" i="2"/>
  <c r="S11" i="2" s="1"/>
  <c r="E9" i="8"/>
  <c r="E8" i="8"/>
  <c r="P8" i="2"/>
  <c r="S8" i="2" s="1"/>
  <c r="P4" i="2"/>
  <c r="P14" i="2"/>
  <c r="S14" i="2" s="1"/>
  <c r="I18" i="5" l="1"/>
  <c r="F35" i="24"/>
  <c r="I18" i="3"/>
  <c r="F7" i="24"/>
  <c r="G17" i="8"/>
  <c r="H14" i="24" s="1"/>
  <c r="E14" i="24"/>
  <c r="J17" i="12"/>
  <c r="F10" i="24"/>
  <c r="I17" i="5"/>
  <c r="F34" i="24"/>
  <c r="F17" i="8"/>
  <c r="F14" i="24" s="1"/>
  <c r="D14" i="24"/>
  <c r="F18" i="8"/>
  <c r="F15" i="24" s="1"/>
  <c r="D15" i="24"/>
  <c r="I17" i="3"/>
  <c r="F6" i="24"/>
  <c r="J18" i="12"/>
  <c r="F11" i="24"/>
  <c r="G23" i="5"/>
  <c r="E18" i="8"/>
  <c r="Q10" i="8"/>
  <c r="Q3" i="8"/>
  <c r="S4" i="2"/>
  <c r="E4" i="12"/>
  <c r="E5" i="12"/>
  <c r="E4" i="3"/>
  <c r="G18" i="8" l="1"/>
  <c r="H15" i="24" s="1"/>
  <c r="E15" i="24"/>
  <c r="C24" i="8"/>
  <c r="D4" i="4"/>
  <c r="F5" i="12"/>
  <c r="L31" i="20" s="1"/>
  <c r="F4" i="12"/>
  <c r="L30" i="20" s="1"/>
  <c r="E4" i="4"/>
  <c r="E5" i="3"/>
  <c r="B302" i="3" s="1"/>
  <c r="B303" i="3" l="1"/>
  <c r="B308" i="12"/>
  <c r="B304" i="12"/>
  <c r="B307" i="12"/>
  <c r="B305" i="12"/>
  <c r="B306" i="12"/>
  <c r="B300" i="3"/>
  <c r="B301" i="3"/>
  <c r="B304" i="3"/>
  <c r="B305" i="3"/>
  <c r="E24" i="8"/>
  <c r="D34" i="8"/>
  <c r="K4" i="4"/>
  <c r="E17" i="4" l="1"/>
  <c r="F17" i="4"/>
  <c r="D5" i="4"/>
  <c r="Q4" i="4" s="1"/>
  <c r="E5" i="6"/>
  <c r="E5" i="4"/>
  <c r="E5" i="5"/>
  <c r="E4" i="5"/>
  <c r="D4" i="7"/>
  <c r="K4" i="7" s="1"/>
  <c r="H17" i="4" l="1"/>
  <c r="H30" i="24" s="1"/>
  <c r="E30" i="24"/>
  <c r="G17" i="4"/>
  <c r="F30" i="24" s="1"/>
  <c r="D30" i="24"/>
  <c r="B303" i="6"/>
  <c r="B302" i="6"/>
  <c r="B305" i="6"/>
  <c r="B304" i="6"/>
  <c r="B301" i="6"/>
  <c r="B300" i="6"/>
  <c r="B304" i="5"/>
  <c r="B300" i="5"/>
  <c r="B303" i="5"/>
  <c r="B302" i="5"/>
  <c r="B301" i="5"/>
  <c r="B305" i="5"/>
  <c r="B301" i="4"/>
  <c r="B302" i="4"/>
  <c r="B304" i="4"/>
  <c r="B300" i="4"/>
  <c r="B303" i="4"/>
  <c r="R4" i="4"/>
  <c r="P28" i="4"/>
  <c r="R5" i="4"/>
  <c r="D17" i="7"/>
  <c r="E17" i="7"/>
  <c r="L4" i="4"/>
  <c r="E4" i="9"/>
  <c r="D4" i="9"/>
  <c r="K4" i="9" s="1"/>
  <c r="F4" i="11"/>
  <c r="E5" i="9"/>
  <c r="D5" i="9"/>
  <c r="E5" i="7"/>
  <c r="D5" i="7"/>
  <c r="E4" i="7"/>
  <c r="I17" i="4" l="1"/>
  <c r="G17" i="7"/>
  <c r="H18" i="24" s="1"/>
  <c r="E18" i="24"/>
  <c r="F17" i="7"/>
  <c r="F18" i="24" s="1"/>
  <c r="D18" i="24"/>
  <c r="B301" i="7"/>
  <c r="B304" i="7"/>
  <c r="B300" i="7"/>
  <c r="B303" i="7"/>
  <c r="B302" i="7"/>
  <c r="C304" i="9"/>
  <c r="C300" i="9"/>
  <c r="C303" i="9"/>
  <c r="C302" i="9"/>
  <c r="C301" i="9"/>
  <c r="E23" i="4"/>
  <c r="F23" i="4" s="1"/>
  <c r="L4" i="7"/>
  <c r="E18" i="7" s="1"/>
  <c r="Q4" i="7"/>
  <c r="L4" i="9"/>
  <c r="E18" i="9" s="1"/>
  <c r="Q4" i="9"/>
  <c r="F18" i="4"/>
  <c r="E18" i="4"/>
  <c r="I13" i="11" s="1"/>
  <c r="D17" i="9"/>
  <c r="E17" i="9"/>
  <c r="E5" i="8"/>
  <c r="E4" i="8"/>
  <c r="D31" i="24" l="1"/>
  <c r="H18" i="4"/>
  <c r="H31" i="24" s="1"/>
  <c r="E31" i="24"/>
  <c r="G18" i="7"/>
  <c r="H19" i="24" s="1"/>
  <c r="E19" i="24"/>
  <c r="G17" i="9"/>
  <c r="H22" i="24" s="1"/>
  <c r="E22" i="24"/>
  <c r="F17" i="9"/>
  <c r="F22" i="24" s="1"/>
  <c r="D22" i="24"/>
  <c r="G18" i="9"/>
  <c r="H23" i="24" s="1"/>
  <c r="E23" i="24"/>
  <c r="B303" i="8"/>
  <c r="B302" i="8"/>
  <c r="B304" i="8"/>
  <c r="B300" i="8"/>
  <c r="B301" i="8"/>
  <c r="G18" i="4"/>
  <c r="U13" i="18"/>
  <c r="U14" i="18" s="1"/>
  <c r="D18" i="7"/>
  <c r="D18" i="9"/>
  <c r="Q3" i="9"/>
  <c r="Q11" i="9"/>
  <c r="Q3" i="7"/>
  <c r="Q10" i="7"/>
  <c r="F18" i="9" l="1"/>
  <c r="F23" i="24" s="1"/>
  <c r="D23" i="24"/>
  <c r="I18" i="4"/>
  <c r="F31" i="24"/>
  <c r="F18" i="7"/>
  <c r="F19" i="24" s="1"/>
  <c r="D19" i="24"/>
  <c r="F23" i="7"/>
  <c r="F23" i="9"/>
  <c r="G23" i="9" s="1"/>
  <c r="G23" i="7" l="1"/>
  <c r="V12" i="21"/>
  <c r="X12" i="21" s="1"/>
  <c r="J39" i="22"/>
  <c r="J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 Gürer</author>
    <author>Tan</author>
  </authors>
  <commentList>
    <comment ref="C1" authorId="0" shapeId="0" xr:uid="{00000000-0006-0000-0000-000001000000}">
      <text>
        <r>
          <rPr>
            <b/>
            <sz val="9"/>
            <color indexed="81"/>
            <rFont val="Tahoma"/>
            <family val="2"/>
            <charset val="162"/>
          </rPr>
          <t>Tan Gürer:</t>
        </r>
        <r>
          <rPr>
            <sz val="9"/>
            <color indexed="81"/>
            <rFont val="Tahoma"/>
            <family val="2"/>
            <charset val="162"/>
          </rPr>
          <t xml:space="preserve">
GÜNCELLEME :  
09 / 2024
</t>
        </r>
      </text>
    </comment>
    <comment ref="C15" authorId="0" shapeId="0" xr:uid="{00000000-0006-0000-0000-000002000000}">
      <text>
        <r>
          <rPr>
            <b/>
            <sz val="9"/>
            <color indexed="81"/>
            <rFont val="Tahoma"/>
            <family val="2"/>
            <charset val="162"/>
          </rPr>
          <t>Tezcan Keçeli Özdemir(2007)</t>
        </r>
      </text>
    </comment>
    <comment ref="D19" authorId="0" shapeId="0" xr:uid="{00000000-0006-0000-0000-000003000000}">
      <text>
        <r>
          <rPr>
            <b/>
            <i/>
            <sz val="8"/>
            <color indexed="81"/>
            <rFont val="Tahoma"/>
            <family val="2"/>
            <charset val="162"/>
          </rPr>
          <t>Tezcan Keçeli Özdemir(2007)</t>
        </r>
        <r>
          <rPr>
            <sz val="9"/>
            <color indexed="81"/>
            <rFont val="Tahoma"/>
            <family val="2"/>
            <charset val="162"/>
          </rPr>
          <t xml:space="preserve">
</t>
        </r>
      </text>
    </comment>
    <comment ref="C26" authorId="1" shapeId="0" xr:uid="{00000000-0006-0000-0000-000004000000}">
      <text>
        <r>
          <rPr>
            <b/>
            <sz val="9"/>
            <color indexed="81"/>
            <rFont val="Tahoma"/>
            <charset val="1"/>
          </rPr>
          <t>Tan:</t>
        </r>
        <r>
          <rPr>
            <sz val="9"/>
            <color indexed="81"/>
            <rFont val="Tahoma"/>
            <charset val="1"/>
          </rPr>
          <t xml:space="preserve">
Makine değerlendirmesini bu hücreye girin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 Gürer</author>
  </authors>
  <commentList>
    <comment ref="AD20" authorId="0" shapeId="0" xr:uid="{00000000-0006-0000-0100-000001000000}">
      <text>
        <r>
          <rPr>
            <sz val="9"/>
            <color indexed="81"/>
            <rFont val="Tahoma"/>
            <family val="2"/>
            <charset val="162"/>
          </rPr>
          <t xml:space="preserve">
Değer Giriniz</t>
        </r>
      </text>
    </comment>
    <comment ref="AE20" authorId="0" shapeId="0" xr:uid="{00000000-0006-0000-0100-000002000000}">
      <text>
        <r>
          <rPr>
            <sz val="9"/>
            <color indexed="81"/>
            <rFont val="Tahoma"/>
            <family val="2"/>
            <charset val="162"/>
          </rPr>
          <t xml:space="preserve">
Değer Giriniz</t>
        </r>
      </text>
    </comment>
    <comment ref="G22" authorId="0" shapeId="0" xr:uid="{00000000-0006-0000-0100-000003000000}">
      <text>
        <r>
          <rPr>
            <b/>
            <sz val="9"/>
            <color indexed="81"/>
            <rFont val="Tahoma"/>
            <family val="2"/>
            <charset val="162"/>
          </rPr>
          <t>Koordinat sistemi girilecek</t>
        </r>
        <r>
          <rPr>
            <sz val="9"/>
            <color indexed="81"/>
            <rFont val="Tahoma"/>
            <family val="2"/>
            <charset val="16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F9" authorId="0" shapeId="0" xr:uid="{00000000-0006-0000-0200-000001000000}">
      <text>
        <r>
          <rPr>
            <b/>
            <sz val="8"/>
            <color indexed="81"/>
            <rFont val="Tahoma"/>
            <family val="2"/>
            <charset val="162"/>
          </rPr>
          <t>ref: sismik R7</t>
        </r>
      </text>
    </comment>
    <comment ref="N9" authorId="0" shapeId="0" xr:uid="{00000000-0006-0000-0200-000002000000}">
      <text>
        <r>
          <rPr>
            <b/>
            <sz val="8"/>
            <color indexed="81"/>
            <rFont val="Tahoma"/>
            <family val="2"/>
            <charset val="162"/>
          </rPr>
          <t>ref: sismik AA7</t>
        </r>
      </text>
    </comment>
    <comment ref="P9" authorId="0" shapeId="0" xr:uid="{00000000-0006-0000-0200-000003000000}">
      <text>
        <r>
          <rPr>
            <b/>
            <sz val="8"/>
            <color indexed="81"/>
            <rFont val="Tahoma"/>
            <family val="2"/>
            <charset val="162"/>
          </rPr>
          <t>ref: sismik AC7</t>
        </r>
      </text>
    </comment>
    <comment ref="V9" authorId="0" shapeId="0" xr:uid="{00000000-0006-0000-0200-000004000000}">
      <text>
        <r>
          <rPr>
            <b/>
            <sz val="8"/>
            <color indexed="81"/>
            <rFont val="Tahoma"/>
            <family val="2"/>
            <charset val="162"/>
          </rPr>
          <t>ref: sismik R7</t>
        </r>
      </text>
    </comment>
    <comment ref="AD9" authorId="0" shapeId="0" xr:uid="{00000000-0006-0000-0200-000005000000}">
      <text>
        <r>
          <rPr>
            <b/>
            <sz val="8"/>
            <color indexed="81"/>
            <rFont val="Tahoma"/>
            <family val="2"/>
            <charset val="162"/>
          </rPr>
          <t>ref: sismik AA7</t>
        </r>
      </text>
    </comment>
    <comment ref="AF9" authorId="0" shapeId="0" xr:uid="{00000000-0006-0000-0200-000006000000}">
      <text>
        <r>
          <rPr>
            <b/>
            <sz val="8"/>
            <color indexed="81"/>
            <rFont val="Tahoma"/>
            <family val="2"/>
            <charset val="162"/>
          </rPr>
          <t>ref: sismik AC7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 Gürer</author>
  </authors>
  <commentList>
    <comment ref="R16" authorId="0" shapeId="0" xr:uid="{00000000-0006-0000-0C00-000001000000}">
      <text>
        <r>
          <rPr>
            <b/>
            <sz val="9"/>
            <color indexed="81"/>
            <rFont val="Tahoma"/>
            <family val="2"/>
            <charset val="162"/>
          </rPr>
          <t>11-1-4 başlığı altında verilecek</t>
        </r>
        <r>
          <rPr>
            <sz val="9"/>
            <color indexed="81"/>
            <rFont val="Tahoma"/>
            <family val="2"/>
            <charset val="16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 Gürer</author>
  </authors>
  <commentList>
    <comment ref="X26" authorId="0" shapeId="0" xr:uid="{00000000-0006-0000-0D00-000001000000}">
      <text>
        <r>
          <rPr>
            <b/>
            <sz val="9"/>
            <color indexed="81"/>
            <rFont val="Tahoma"/>
            <family val="2"/>
            <charset val="162"/>
          </rPr>
          <t>Fay'a olan kuş uçuşu mesafe gir</t>
        </r>
        <r>
          <rPr>
            <sz val="9"/>
            <color indexed="81"/>
            <rFont val="Tahoma"/>
            <family val="2"/>
            <charset val="162"/>
          </rPr>
          <t xml:space="preserve">
</t>
        </r>
      </text>
    </comment>
    <comment ref="T31" authorId="0" shapeId="0" xr:uid="{00000000-0006-0000-0D00-000002000000}">
      <text>
        <r>
          <rPr>
            <b/>
            <sz val="9"/>
            <color indexed="81"/>
            <rFont val="Tahoma"/>
            <family val="2"/>
            <charset val="162"/>
          </rPr>
          <t>Deprem yüzey dalgası Magnetüdü gir</t>
        </r>
      </text>
    </comment>
    <comment ref="E43" authorId="0" shapeId="0" xr:uid="{00000000-0006-0000-0D00-000003000000}">
      <text>
        <r>
          <rPr>
            <sz val="9"/>
            <color indexed="81"/>
            <rFont val="Tahoma"/>
            <family val="2"/>
            <charset val="162"/>
          </rPr>
          <t xml:space="preserve">30 giriniz
</t>
        </r>
      </text>
    </comment>
    <comment ref="V57" authorId="0" shapeId="0" xr:uid="{00000000-0006-0000-0D00-000004000000}">
      <text>
        <r>
          <rPr>
            <sz val="9"/>
            <color indexed="81"/>
            <rFont val="Tahoma"/>
            <family val="2"/>
            <charset val="162"/>
          </rPr>
          <t xml:space="preserve">Magnetüt girin  (Mw)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Tan Gürer</author>
  </authors>
  <commentList>
    <comment ref="N13" authorId="0" shapeId="0" xr:uid="{00000000-0006-0000-0E00-000001000000}">
      <text>
        <r>
          <rPr>
            <sz val="9"/>
            <color indexed="81"/>
            <rFont val="Tahoma"/>
            <family val="2"/>
            <charset val="162"/>
          </rPr>
          <t xml:space="preserve">Temel Kısa kenar uzunluğunu giriniz (mt)
</t>
        </r>
      </text>
    </comment>
    <comment ref="C14" authorId="0" shapeId="0" xr:uid="{00000000-0006-0000-0E00-000002000000}">
      <text>
        <r>
          <rPr>
            <b/>
            <sz val="9"/>
            <color indexed="81"/>
            <rFont val="Tahoma"/>
            <family val="2"/>
            <charset val="162"/>
          </rPr>
          <t>Değer Giriniz</t>
        </r>
        <r>
          <rPr>
            <sz val="9"/>
            <color indexed="81"/>
            <rFont val="Tahoma"/>
            <family val="2"/>
            <charset val="162"/>
          </rPr>
          <t xml:space="preserve">
</t>
        </r>
      </text>
    </comment>
    <comment ref="N14" authorId="0" shapeId="0" xr:uid="{00000000-0006-0000-0E00-000003000000}">
      <text>
        <r>
          <rPr>
            <sz val="9"/>
            <color indexed="81"/>
            <rFont val="Tahoma"/>
            <family val="2"/>
            <charset val="162"/>
          </rPr>
          <t xml:space="preserve">Temel kazı derinliğini giriniz (mt)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Tan Gürer</author>
  </authors>
  <commentList>
    <comment ref="K3" authorId="0" shapeId="0" xr:uid="{00000000-0006-0000-1000-000001000000}">
      <text>
        <r>
          <rPr>
            <b/>
            <sz val="9"/>
            <color indexed="81"/>
            <rFont val="Tahoma"/>
            <family val="2"/>
            <charset val="162"/>
          </rPr>
          <t>Haritadan ivme değeri girilir.</t>
        </r>
        <r>
          <rPr>
            <sz val="9"/>
            <color indexed="81"/>
            <rFont val="Tahoma"/>
            <family val="2"/>
            <charset val="162"/>
          </rPr>
          <t xml:space="preserve">
</t>
        </r>
      </text>
    </comment>
    <comment ref="E5" authorId="0" shapeId="0" xr:uid="{00000000-0006-0000-1000-000002000000}">
      <text>
        <r>
          <rPr>
            <b/>
            <sz val="9"/>
            <color indexed="81"/>
            <rFont val="Tahoma"/>
            <family val="2"/>
            <charset val="162"/>
          </rPr>
          <t>Lab. Föyden gir</t>
        </r>
        <r>
          <rPr>
            <sz val="9"/>
            <color indexed="81"/>
            <rFont val="Tahoma"/>
            <family val="2"/>
            <charset val="162"/>
          </rPr>
          <t xml:space="preserve">
</t>
        </r>
      </text>
    </comment>
    <comment ref="K5" authorId="0" shapeId="0" xr:uid="{00000000-0006-0000-1000-000003000000}">
      <text>
        <r>
          <rPr>
            <b/>
            <sz val="9"/>
            <color indexed="81"/>
            <rFont val="Tahoma"/>
            <family val="2"/>
            <charset val="162"/>
          </rPr>
          <t>şev açısına göre tablodan N1 değeri gir</t>
        </r>
        <r>
          <rPr>
            <sz val="9"/>
            <color indexed="81"/>
            <rFont val="Tahoma"/>
            <family val="2"/>
            <charset val="162"/>
          </rPr>
          <t xml:space="preserve">
</t>
        </r>
      </text>
    </comment>
  </commentList>
</comments>
</file>

<file path=xl/sharedStrings.xml><?xml version="1.0" encoding="utf-8"?>
<sst xmlns="http://schemas.openxmlformats.org/spreadsheetml/2006/main" count="2229" uniqueCount="813">
  <si>
    <t>ZEMİN PARAMETRELERİ</t>
  </si>
  <si>
    <t>SİMGELER VE BİRİMLERİ</t>
  </si>
  <si>
    <t>I. TABAKA</t>
  </si>
  <si>
    <t>II. TABAKA</t>
  </si>
  <si>
    <t>BOYUNA HIZ</t>
  </si>
  <si>
    <t>Vp (m/s)</t>
  </si>
  <si>
    <t>ENİNE HIZ</t>
  </si>
  <si>
    <t>Vs (m/s)</t>
  </si>
  <si>
    <t>TABAKA YOĞUNLUĞU(dinamik yoğunluk)</t>
  </si>
  <si>
    <r>
      <t>d (gr/cm</t>
    </r>
    <r>
      <rPr>
        <b/>
        <vertAlign val="superscript"/>
        <sz val="10"/>
        <rFont val="Arial Tur"/>
        <family val="2"/>
        <charset val="162"/>
      </rPr>
      <t>3</t>
    </r>
    <r>
      <rPr>
        <b/>
        <sz val="10"/>
        <rFont val="Arial Tur"/>
        <family val="2"/>
        <charset val="162"/>
      </rPr>
      <t>)</t>
    </r>
  </si>
  <si>
    <t>SİSMİK HIZ ORANI</t>
  </si>
  <si>
    <t>Vp/Vs</t>
  </si>
  <si>
    <t>POİSSON ORANI</t>
  </si>
  <si>
    <t>P</t>
  </si>
  <si>
    <t>KAYMA MODÜLÜ   (Sheare)</t>
  </si>
  <si>
    <r>
      <t>G (kg/cm</t>
    </r>
    <r>
      <rPr>
        <b/>
        <vertAlign val="superscript"/>
        <sz val="10"/>
        <rFont val="Arial Tur"/>
        <family val="2"/>
        <charset val="162"/>
      </rPr>
      <t>2</t>
    </r>
    <r>
      <rPr>
        <b/>
        <sz val="10"/>
        <rFont val="Arial Tur"/>
        <family val="2"/>
        <charset val="162"/>
      </rPr>
      <t>)</t>
    </r>
  </si>
  <si>
    <t>ELASTİSİTE MODÜLÜ</t>
  </si>
  <si>
    <r>
      <t>E (kg/cm</t>
    </r>
    <r>
      <rPr>
        <b/>
        <vertAlign val="superscript"/>
        <sz val="10"/>
        <rFont val="Arial Tur"/>
        <family val="2"/>
        <charset val="162"/>
      </rPr>
      <t>2</t>
    </r>
    <r>
      <rPr>
        <b/>
        <sz val="10"/>
        <rFont val="Arial Tur"/>
        <family val="2"/>
        <charset val="162"/>
      </rPr>
      <t>)</t>
    </r>
  </si>
  <si>
    <t>K (kg/cm2)</t>
  </si>
  <si>
    <t>ZEMİN HAKİM TİTREŞİM PERYODU</t>
  </si>
  <si>
    <t>To (sn)</t>
  </si>
  <si>
    <t>ZEMİN TAŞIMA GÜCÜ</t>
  </si>
  <si>
    <t>P  DALGA HIZINA GÖRE SÖKÜLEBİLİRLİK</t>
  </si>
  <si>
    <t>YOĞUNLUK SINIFLAMASI</t>
  </si>
  <si>
    <t>HIZ ORANINA GÖRE ZEMİN SIKILIĞI</t>
  </si>
  <si>
    <t>POİSSON ORANINA GÖRE ZEMİN SIKILIĞI</t>
  </si>
  <si>
    <t>KAYMA MODÜLÜNE GÖRE DAYANIM</t>
  </si>
  <si>
    <t>ELASTİSİTE MODÜLÜNE GÖRE SIKIŞABİLİRLİK</t>
  </si>
  <si>
    <t>BULK MODÜLÜNE GÖRE SIKIŞABİLİRLİK</t>
  </si>
  <si>
    <t>ZEMİN HAKİM TİTREŞİM PERYODUNA GÖRE TEHLİKE ÖLÇÜTÜ</t>
  </si>
  <si>
    <t>ZEMİN BÜYÜTMESİNE  GÖRE TEHLİKE ÖLÇÜTÜ</t>
  </si>
  <si>
    <t>1 Tabaka</t>
  </si>
  <si>
    <t>2 Tabaka</t>
  </si>
  <si>
    <t>3 Tabaka</t>
  </si>
  <si>
    <t>4 Tabaka</t>
  </si>
  <si>
    <t xml:space="preserve">BS1021 ve TS5141EN12954 e göre </t>
  </si>
  <si>
    <t>BS1021</t>
  </si>
  <si>
    <t xml:space="preserve">TS5141EN12954 </t>
  </si>
  <si>
    <t>Ohm</t>
  </si>
  <si>
    <t>Zemin Rezistivite - Korozyon derecesi sınıflaması</t>
  </si>
  <si>
    <t>Sisimik Serim</t>
  </si>
  <si>
    <t>Tabakalar</t>
  </si>
  <si>
    <t>P Dalga Hızları (m/sn)</t>
  </si>
  <si>
    <t>Sökülebilirlik</t>
  </si>
  <si>
    <t>1. Tabaka</t>
  </si>
  <si>
    <t>2. Tabaka</t>
  </si>
  <si>
    <t>S1</t>
  </si>
  <si>
    <t>S2</t>
  </si>
  <si>
    <t>S3</t>
  </si>
  <si>
    <t>S4</t>
  </si>
  <si>
    <t>S5</t>
  </si>
  <si>
    <t>S6</t>
  </si>
  <si>
    <t>1. TABAKA</t>
  </si>
  <si>
    <t>2. TABAKA</t>
  </si>
  <si>
    <t>Litolojik Birim</t>
  </si>
  <si>
    <t>Formasyon</t>
  </si>
  <si>
    <t>P  DALGA  HIZLARINA  GÖRE  SÖKÜLEBİLİRLİK</t>
  </si>
  <si>
    <t>YOĞUNLUK  SINIFLAMASI</t>
  </si>
  <si>
    <t>Yoğunluk Sınıflaması</t>
  </si>
  <si>
    <t>Yoğunluk (g/sm3)</t>
  </si>
  <si>
    <t xml:space="preserve">Hız Oranı </t>
  </si>
  <si>
    <t>Zemin Sıkılığı</t>
  </si>
  <si>
    <t xml:space="preserve">Poisson Oranı </t>
  </si>
  <si>
    <t>Dayanım</t>
  </si>
  <si>
    <t>Sıkışabilirlik</t>
  </si>
  <si>
    <t>Tehlike Ölçütü</t>
  </si>
  <si>
    <t>S Dalga Hızları (m/sn)</t>
  </si>
  <si>
    <t>Zemin Gurubu</t>
  </si>
  <si>
    <t>0;-0;;@</t>
  </si>
  <si>
    <t>Litoloji</t>
  </si>
  <si>
    <t>(Y)</t>
  </si>
  <si>
    <t>(X)</t>
  </si>
  <si>
    <t>Tabaka No</t>
  </si>
  <si>
    <t>Serim NO</t>
  </si>
  <si>
    <t>MT1</t>
  </si>
  <si>
    <t>MT2</t>
  </si>
  <si>
    <t>MT3</t>
  </si>
  <si>
    <t>MT4</t>
  </si>
  <si>
    <t>MT5</t>
  </si>
  <si>
    <t>MT6</t>
  </si>
  <si>
    <t>Periyot (sn) T0</t>
  </si>
  <si>
    <t>VS30 (m/sn)</t>
  </si>
  <si>
    <t>NEHRP-UBC</t>
  </si>
  <si>
    <t>TS EN 1998-1</t>
  </si>
  <si>
    <t>SERİM NO</t>
  </si>
  <si>
    <t>NEHRP-UBC ve TS EN 1998-1(Eurocode 8) Tanımlaması</t>
  </si>
  <si>
    <t>FORMASYON</t>
  </si>
  <si>
    <t>Serim No</t>
  </si>
  <si>
    <t>Vp  (m/sn)</t>
  </si>
  <si>
    <t>Vs   (m/sn)</t>
  </si>
  <si>
    <t>Kalınlık (h)</t>
  </si>
  <si>
    <t>Gmax (kg/cm2)</t>
  </si>
  <si>
    <t>E (kg/cm2)</t>
  </si>
  <si>
    <t>K   (kg/cm2)</t>
  </si>
  <si>
    <t>T0        (sn)</t>
  </si>
  <si>
    <t>Sis1</t>
  </si>
  <si>
    <t>Sis2</t>
  </si>
  <si>
    <t>Sis3</t>
  </si>
  <si>
    <t>Sis4</t>
  </si>
  <si>
    <t>Sis5</t>
  </si>
  <si>
    <t>Sis6</t>
  </si>
  <si>
    <t>İNCELEME ALANININ DİNAMİK - ELASTİK PARAMETRELERİ</t>
  </si>
  <si>
    <t>d    (kg/cm3)</t>
  </si>
  <si>
    <t>DÜŞEY YATAK KATSAYISI</t>
  </si>
  <si>
    <t>YAPI PERİYOTLARI AMLİFİKASYON ARALIĞI</t>
  </si>
  <si>
    <t>GÖZENEKLİLİK</t>
  </si>
  <si>
    <t>T01-T02</t>
  </si>
  <si>
    <t>Zayıf Hareket</t>
  </si>
  <si>
    <t>Kuvvetli Hareket</t>
  </si>
  <si>
    <t>REFERANSLAR</t>
  </si>
  <si>
    <t>Tabaka Yoğunluğu</t>
  </si>
  <si>
    <t>Sismik Hız Oranı</t>
  </si>
  <si>
    <t>Poisson Oranı</t>
  </si>
  <si>
    <t>Kayma Modülü</t>
  </si>
  <si>
    <t>Elastisite Modülü</t>
  </si>
  <si>
    <t>Bulk Modülü</t>
  </si>
  <si>
    <t>Zemin Hakim Titreşim Periodu</t>
  </si>
  <si>
    <t>Zemin Taşıma Gücü</t>
  </si>
  <si>
    <t>Yatak Katsayısı</t>
  </si>
  <si>
    <t>Gözeneklilik</t>
  </si>
  <si>
    <t>Zemin Deprem Büyütmesi</t>
  </si>
  <si>
    <t>Bowles 1989</t>
  </si>
  <si>
    <t>Kramer 1996</t>
  </si>
  <si>
    <t>Kanai 1983</t>
  </si>
  <si>
    <t>Watkins 1972</t>
  </si>
  <si>
    <t>Borcherdt 1991</t>
  </si>
  <si>
    <t>Zemin Emniyet Gerilmesi</t>
  </si>
  <si>
    <t>A.Keçeli (1990)</t>
  </si>
  <si>
    <r>
      <t xml:space="preserve">BOYUNA BİRİM DEFORMASYON    </t>
    </r>
    <r>
      <rPr>
        <b/>
        <sz val="10"/>
        <rFont val="Arial Tur"/>
        <charset val="162"/>
      </rPr>
      <t>(OTURMA)</t>
    </r>
  </si>
  <si>
    <t>Nehrp</t>
  </si>
  <si>
    <t xml:space="preserve"> PLASTİK OTURMA ETKİN YÜK DERİNLİĞİ</t>
  </si>
  <si>
    <t>Z  (m)</t>
  </si>
  <si>
    <t>SZ  (cm)</t>
  </si>
  <si>
    <t>aralığındadır</t>
  </si>
  <si>
    <t>POİSSON ORANINA GÖRE ZEMİN SIKILIĞ</t>
  </si>
  <si>
    <t xml:space="preserve">ZEMİN BÜYÜTMESİNE  GÖRE TEHLİKE ÖLÇÜTÜ    (AHSA: 0.4 ~ 2.0 s periyod aralığında ortalama yatay spektral büyütme ) Borcherdt (1991) </t>
  </si>
  <si>
    <t>Bulk modülü  (I Tabaka)</t>
  </si>
  <si>
    <t>Bulk modülü  (II Tabaka)</t>
  </si>
  <si>
    <r>
      <t>Elastisite modülü</t>
    </r>
    <r>
      <rPr>
        <b/>
        <sz val="11"/>
        <color theme="1"/>
        <rFont val="Calibri"/>
        <family val="2"/>
        <charset val="162"/>
        <scheme val="minor"/>
      </rPr>
      <t xml:space="preserve"> (I Tabaka)</t>
    </r>
  </si>
  <si>
    <r>
      <t>Elastisite modülü</t>
    </r>
    <r>
      <rPr>
        <b/>
        <sz val="11"/>
        <color theme="1"/>
        <rFont val="Calibri"/>
        <family val="2"/>
        <charset val="162"/>
        <scheme val="minor"/>
      </rPr>
      <t xml:space="preserve"> (II Tabaka)</t>
    </r>
  </si>
  <si>
    <r>
      <t>Kayma modülü (</t>
    </r>
    <r>
      <rPr>
        <b/>
        <sz val="11"/>
        <color theme="1"/>
        <rFont val="Calibri"/>
        <family val="2"/>
        <charset val="162"/>
        <scheme val="minor"/>
      </rPr>
      <t xml:space="preserve"> I Tabaka </t>
    </r>
    <r>
      <rPr>
        <sz val="11"/>
        <color theme="1"/>
        <rFont val="Calibri"/>
        <family val="2"/>
        <charset val="162"/>
        <scheme val="minor"/>
      </rPr>
      <t>)</t>
    </r>
  </si>
  <si>
    <r>
      <t>Kayma modülü (</t>
    </r>
    <r>
      <rPr>
        <b/>
        <sz val="11"/>
        <color theme="1"/>
        <rFont val="Calibri"/>
        <family val="2"/>
        <charset val="162"/>
        <scheme val="minor"/>
      </rPr>
      <t xml:space="preserve"> II Tabaka </t>
    </r>
    <r>
      <rPr>
        <sz val="11"/>
        <color theme="1"/>
        <rFont val="Calibri"/>
        <family val="2"/>
        <charset val="162"/>
        <scheme val="minor"/>
      </rPr>
      <t>)</t>
    </r>
  </si>
  <si>
    <t>Poisson oranı ( I Tabaka )</t>
  </si>
  <si>
    <t>Poisson oranı ( II Tabaka )</t>
  </si>
  <si>
    <t>Sismik hız oranları  ( I Tabaka )</t>
  </si>
  <si>
    <t>Sismik hız oranları  ( II Tabaka )</t>
  </si>
  <si>
    <t>P dalga hızı (I Tabaka) (m/sn)</t>
  </si>
  <si>
    <t>Tablo……….</t>
  </si>
  <si>
    <t>P dalga hızı (II Tabaka) (m/sn)</t>
  </si>
  <si>
    <t>Başlangıç</t>
  </si>
  <si>
    <t>Bitiş</t>
  </si>
  <si>
    <t>Kalınlık (m)</t>
  </si>
  <si>
    <t>Derinlik (m)</t>
  </si>
  <si>
    <t>Özdirenç (ohm)</t>
  </si>
  <si>
    <t>DES 1</t>
  </si>
  <si>
    <t>DES 2</t>
  </si>
  <si>
    <t>DES 5</t>
  </si>
  <si>
    <t>DES 3</t>
  </si>
  <si>
    <t>DES 4</t>
  </si>
  <si>
    <t>DES 6</t>
  </si>
  <si>
    <t>YAS</t>
  </si>
  <si>
    <t>Lankston 1990</t>
  </si>
  <si>
    <t>Sıkılık</t>
  </si>
  <si>
    <t>0.40 - 0.49</t>
  </si>
  <si>
    <t>3.30 - 0.39</t>
  </si>
  <si>
    <t>0.20 - 0.29</t>
  </si>
  <si>
    <t>0.10 - 0.19</t>
  </si>
  <si>
    <t>0.00 - 0.09</t>
  </si>
  <si>
    <t>Cıvık Sıvı</t>
  </si>
  <si>
    <t>Çok Gevşek</t>
  </si>
  <si>
    <t>Gevşek</t>
  </si>
  <si>
    <t>Sıkı - Katı</t>
  </si>
  <si>
    <t>Katı</t>
  </si>
  <si>
    <t>Sağlam Kaya</t>
  </si>
  <si>
    <t>2.49 - 1.87</t>
  </si>
  <si>
    <t>1.87 - 1.71</t>
  </si>
  <si>
    <t>1.71 - 1.50</t>
  </si>
  <si>
    <t>1.50 - 1.41</t>
  </si>
  <si>
    <r>
      <t xml:space="preserve"> </t>
    </r>
    <r>
      <rPr>
        <sz val="14"/>
        <color theme="1"/>
        <rFont val="Calibri"/>
        <family val="2"/>
        <charset val="162"/>
        <scheme val="minor"/>
      </rPr>
      <t>∞</t>
    </r>
    <r>
      <rPr>
        <sz val="11"/>
        <color theme="1"/>
        <rFont val="Calibri"/>
        <family val="2"/>
        <charset val="162"/>
        <scheme val="minor"/>
      </rPr>
      <t>-2.49</t>
    </r>
  </si>
  <si>
    <t xml:space="preserve"> ∞</t>
  </si>
  <si>
    <t>Tabaka yoğunlukları (I Tabaka) (gr/cm³)</t>
  </si>
  <si>
    <t>Tabaka yoğunlukları (II Tabaka)  (gr/cm³)</t>
  </si>
  <si>
    <t>d    (kg/cm³)</t>
  </si>
  <si>
    <t>Gmax (kg/cm²)</t>
  </si>
  <si>
    <t>E (kg/cm²)</t>
  </si>
  <si>
    <t>K   (kg/cm²)</t>
  </si>
  <si>
    <t>ton/m³)</t>
  </si>
  <si>
    <t>Kayma Modülü (kg/cm²)</t>
  </si>
  <si>
    <t>Elastisite Modülü (kg/cm²)</t>
  </si>
  <si>
    <t>Bulk Modülü (kg/cm²)</t>
  </si>
  <si>
    <t>VS30 TABAKA  HIZI</t>
  </si>
  <si>
    <t>Vs30 (m/s)</t>
  </si>
  <si>
    <t>TABAKA KALINLIĞI</t>
  </si>
  <si>
    <t>h(m)</t>
  </si>
  <si>
    <t>Zemin Büyütme                   Kuvvetli Haraket (%) AHSH</t>
  </si>
  <si>
    <t>Zemin  Büyütme          Zayıf Haraket. (%)     AHSH</t>
  </si>
  <si>
    <t>Joyner and Fumal  (1984)</t>
  </si>
  <si>
    <t xml:space="preserve">Midorikawa(1987) </t>
  </si>
  <si>
    <t>S dalga hızı (I Tabaka )  (m/sn)</t>
  </si>
  <si>
    <t>S dalga hızı (II Tabaka )  (m/sn)</t>
  </si>
  <si>
    <t>S  DALGA  HIZLARINA  GÖRE  SÖKÜLEBİLİRLİK  ( Nehrp )</t>
  </si>
  <si>
    <t>VS30 ort =</t>
  </si>
  <si>
    <t xml:space="preserve"> BULK MODÜLÜ II TABAKA ORTALAMASINA  GÖRE SIKIŞABİLİRLİK</t>
  </si>
  <si>
    <t xml:space="preserve"> KAYMA MODÜLÜ  II TABAKA ORTALAMASINA GÖRE DAYANIM</t>
  </si>
  <si>
    <t xml:space="preserve"> POİSSON ORANI II TABAKA ORTALAMASINA GÖRE ZEMİN SIKILIK</t>
  </si>
  <si>
    <t>II TABAKA SİSMİK HIZ ORANI ORTALAMASINA GÖRE ZEMİN SIKILIĞI</t>
  </si>
  <si>
    <t>"</t>
  </si>
  <si>
    <t>II Tabaka Ortalama Yoğunluk  Sınıflaması(g/sm3)</t>
  </si>
  <si>
    <t>Medvedev (1965)</t>
  </si>
  <si>
    <t>=EĞER(EHATALIYSA(formül);"";formül) </t>
  </si>
  <si>
    <t>( MEDVEDEV )</t>
  </si>
  <si>
    <t xml:space="preserve"> Midorikava   (1987)  </t>
  </si>
  <si>
    <t xml:space="preserve"> Joyner and Fumal </t>
  </si>
  <si>
    <t>Medvedev</t>
  </si>
  <si>
    <t>VS 30  İÇİN  HESAPLANAN  PARAMETRE  DEĞERLERİ</t>
  </si>
  <si>
    <t>Telford 1976</t>
  </si>
  <si>
    <t>Ansal Vd.(2002) göre Zemin Büyütmesi Tehlike Ölçütü</t>
  </si>
  <si>
    <t>VS30 değerine göre Tabakaların zemin büyütmesi</t>
  </si>
  <si>
    <t>Ta (sn) (0.67*To)</t>
  </si>
  <si>
    <t>Tb (sn) (1.5*T0)</t>
  </si>
  <si>
    <t>Zemin Büyütmesi (A0)</t>
  </si>
  <si>
    <t>MW 1</t>
  </si>
  <si>
    <t>MW 2</t>
  </si>
  <si>
    <t>MW 3</t>
  </si>
  <si>
    <t>MW 4</t>
  </si>
  <si>
    <t>MW 5</t>
  </si>
  <si>
    <t>MW 6</t>
  </si>
  <si>
    <t>Formül Seç</t>
  </si>
  <si>
    <r>
      <t xml:space="preserve">BULK MODÜLÜ </t>
    </r>
    <r>
      <rPr>
        <b/>
        <sz val="12"/>
        <rFont val="Arial Tur"/>
        <charset val="162"/>
      </rPr>
      <t xml:space="preserve"> (Sıkışmazlık)</t>
    </r>
  </si>
  <si>
    <t>BULK MODÜLÜ   (Sıkışmazlık)</t>
  </si>
  <si>
    <t>1 Tabaka ton/m3</t>
  </si>
  <si>
    <t>2 Tabaka ton/m3</t>
  </si>
  <si>
    <t>0.44*(vs^0.25)</t>
  </si>
  <si>
    <t>(0.76*Vp^0.074*Vs^0.074)</t>
  </si>
  <si>
    <t>0.31*(vp^0.25)</t>
  </si>
  <si>
    <t xml:space="preserve"> ETKİN YER İVMESİ KATSAYISI (Ao)   Mikrotremör (ZDBE)    </t>
  </si>
  <si>
    <t>T0=</t>
  </si>
  <si>
    <t>Zemin Hakim Titreşim Periyodu (ZHTP)</t>
  </si>
  <si>
    <t>F0=</t>
  </si>
  <si>
    <t>Zemin Hahim Frekansı- Baskın frekans- H/V tepe(doruk)frekansı</t>
  </si>
  <si>
    <t>Etkin Yer İvme Katsayısı - Zemin Deprem Büyütme Etkisi (ZDBE)</t>
  </si>
  <si>
    <t>TA-TB=</t>
  </si>
  <si>
    <t>KARAKTERİSTİK SPEKTRAL VE DEPREM REZONANS ETKİN PERİYOT DEĞERLERİ</t>
  </si>
  <si>
    <t>Zemin Sınıfı</t>
  </si>
  <si>
    <t>Ta-Tb</t>
  </si>
  <si>
    <t>Zemin üst tabaka kalınlığı (h1)</t>
  </si>
  <si>
    <t>Mikrotremör T=Tz(0.5-1.5)</t>
  </si>
  <si>
    <t>AFET YÖNETMELİĞİNE GÖRE</t>
  </si>
  <si>
    <t>SİSMİK YÖNTEMLERE GÖRE</t>
  </si>
  <si>
    <t>Z1</t>
  </si>
  <si>
    <t>Z2</t>
  </si>
  <si>
    <t>Z3</t>
  </si>
  <si>
    <t>Z4</t>
  </si>
  <si>
    <t>0.10-0.30</t>
  </si>
  <si>
    <t>0.15-0.40</t>
  </si>
  <si>
    <t>0.15-0.60</t>
  </si>
  <si>
    <t>0.20-0.90</t>
  </si>
  <si>
    <t>h1&gt;15 m olan (B) ve</t>
  </si>
  <si>
    <t xml:space="preserve">h1&gt;50 m olan (C) </t>
  </si>
  <si>
    <t>h1&gt;10m olan (D)</t>
  </si>
  <si>
    <t>&lt; 200</t>
  </si>
  <si>
    <t>200 - 400</t>
  </si>
  <si>
    <t>400 - 700</t>
  </si>
  <si>
    <t>&gt; 700</t>
  </si>
  <si>
    <t>0.18x(0.5-1.5)=</t>
  </si>
  <si>
    <t>0.27x(0.5-1.5)=</t>
  </si>
  <si>
    <t>0.4x(0.5-1.5)=</t>
  </si>
  <si>
    <t>0.6x(0.5-1.5)=</t>
  </si>
  <si>
    <t>0.1-0.27</t>
  </si>
  <si>
    <t>0.14-0.4</t>
  </si>
  <si>
    <t>0.2-0.6</t>
  </si>
  <si>
    <t>0.3-0.9</t>
  </si>
  <si>
    <t>Zemin      Sınıfı</t>
  </si>
  <si>
    <t>ZEMİN CİNSİ</t>
  </si>
  <si>
    <t>Vs(m/s)</t>
  </si>
  <si>
    <t>T=Tzx(0.5-1.5)</t>
  </si>
  <si>
    <t>ZA</t>
  </si>
  <si>
    <t>Sağlam, sert kayalar</t>
  </si>
  <si>
    <t>&gt; 1500</t>
  </si>
  <si>
    <t>0.18x(0.5-1.5)</t>
  </si>
  <si>
    <t>TA - TB</t>
  </si>
  <si>
    <t>(0.1-0.27)</t>
  </si>
  <si>
    <t>ZB</t>
  </si>
  <si>
    <t>Az ayrışmış ,Orta sağlam kayalar</t>
  </si>
  <si>
    <t>760-1500</t>
  </si>
  <si>
    <t>0.27x(0.5-1.5)</t>
  </si>
  <si>
    <t>(0.14-0.4)</t>
  </si>
  <si>
    <t>ZC</t>
  </si>
  <si>
    <t>Çok sıkı kum,Çakıl ve Sert kil tabakaları veya ayrışmış, çok çatlaklı zayıf kayalar</t>
  </si>
  <si>
    <t>360-760</t>
  </si>
  <si>
    <t>0.4x(0.5-1.5=</t>
  </si>
  <si>
    <t>(0.2-0.6)</t>
  </si>
  <si>
    <t>ZD</t>
  </si>
  <si>
    <t>Orta sıkı - sıkı kum,çakıl veya çok katı kil tabakalar</t>
  </si>
  <si>
    <t>180-360</t>
  </si>
  <si>
    <t>0.6x(0.5-1.5)</t>
  </si>
  <si>
    <t>(0.3-0.9)</t>
  </si>
  <si>
    <t>ZE</t>
  </si>
  <si>
    <t>Gevşek kum,çakıl veya yumuşak-katı kil tabakaları veya P1&gt;20 ve w&gt;%40 koşullarını sağlayan toplamda 3 metreden daha kalın yumuşak kil tabakası içeren profiller u 25 kPa c&lt;</t>
  </si>
  <si>
    <t>0.9x(0.5-1.5)</t>
  </si>
  <si>
    <t>(0.45-1.35)</t>
  </si>
  <si>
    <t>ZF</t>
  </si>
  <si>
    <t>Sahaya özel araştırma ve değerlendirme gerektiren zeminler 1) Deprem etkisi altında çökme ve potansiyel göçme risklerine sahip zeminler(sıvılaşabilir zeminler yüksek derecede hassas killer göçebilir zayıf çimentolu zeminler vb) 2) Toplam kalınlığı 3 metreden fazla turba ve / veya organik içeriği yüksek killer                                                                                    3) Toplam kalınlığı 6 metreden fazla olan yüksek plastisiteli (P1&gt;50) killer                                                                                                 4) Çok kalın (&gt;35m) yumuşak veya orta katı killer</t>
  </si>
  <si>
    <t>1.35x(0.5-1.5)</t>
  </si>
  <si>
    <t>(0.66-2)</t>
  </si>
  <si>
    <t>£</t>
  </si>
  <si>
    <r>
      <t>(A) ve h 1</t>
    </r>
    <r>
      <rPr>
        <sz val="11"/>
        <color theme="1"/>
        <rFont val="Calibri"/>
        <family val="2"/>
        <charset val="162"/>
        <scheme val="minor"/>
      </rPr>
      <t xml:space="preserve">≤ </t>
    </r>
    <r>
      <rPr>
        <sz val="10"/>
        <color theme="1"/>
        <rFont val="Calibri"/>
        <family val="2"/>
        <charset val="162"/>
        <scheme val="minor"/>
      </rPr>
      <t>15 m olan</t>
    </r>
  </si>
  <si>
    <r>
      <t xml:space="preserve">h1 </t>
    </r>
    <r>
      <rPr>
        <sz val="11"/>
        <color theme="1"/>
        <rFont val="Calibri"/>
        <family val="2"/>
        <charset val="162"/>
        <scheme val="minor"/>
      </rPr>
      <t>≤</t>
    </r>
    <r>
      <rPr>
        <sz val="10"/>
        <color theme="1"/>
        <rFont val="Calibri"/>
        <family val="2"/>
        <charset val="162"/>
        <scheme val="minor"/>
      </rPr>
      <t xml:space="preserve"> 15 m olan (C)</t>
    </r>
  </si>
  <si>
    <r>
      <t>15 m&lt;h1 &lt;50 m (C)          h 1</t>
    </r>
    <r>
      <rPr>
        <sz val="11"/>
        <color theme="1"/>
        <rFont val="Calibri"/>
        <family val="2"/>
        <charset val="162"/>
        <scheme val="minor"/>
      </rPr>
      <t>≤</t>
    </r>
    <r>
      <rPr>
        <sz val="10"/>
        <color theme="1"/>
        <rFont val="Calibri"/>
        <family val="2"/>
        <charset val="162"/>
        <scheme val="minor"/>
      </rPr>
      <t xml:space="preserve"> 10m olan (D)</t>
    </r>
  </si>
  <si>
    <t>S Dalga Hızı (m/sn)</t>
  </si>
  <si>
    <t>Zemin Durumu</t>
  </si>
  <si>
    <t>200 - 300</t>
  </si>
  <si>
    <t>300 - 500</t>
  </si>
  <si>
    <t>500 - 750</t>
  </si>
  <si>
    <t>Yumuşak-Orta Katı</t>
  </si>
  <si>
    <t>Çok Katı</t>
  </si>
  <si>
    <t>Sert</t>
  </si>
  <si>
    <t xml:space="preserve">             KOHEZYONLU ZEMİNLERDE VS HIZLARINA GÖRE SINIFLAMA (Özaydın 1982)</t>
  </si>
  <si>
    <t>&lt; 300</t>
  </si>
  <si>
    <t>300 - 600</t>
  </si>
  <si>
    <t>600 - 800</t>
  </si>
  <si>
    <t>800 - 1000</t>
  </si>
  <si>
    <t>Orta Sıkı</t>
  </si>
  <si>
    <t>Sıkı</t>
  </si>
  <si>
    <t>Çok Sıkı</t>
  </si>
  <si>
    <t xml:space="preserve">                  KOHEZYONSUZ ZEMİNLERDE VS HIZLARINA GÖRE SINIFLAMA (Özaydın 1982)</t>
  </si>
  <si>
    <t>Tanım</t>
  </si>
  <si>
    <t>Özellikler</t>
  </si>
  <si>
    <t>A</t>
  </si>
  <si>
    <t>Vs &gt; 800</t>
  </si>
  <si>
    <t>B</t>
  </si>
  <si>
    <t>Çok sıkı Kum Çakıl yada  çok sert killer</t>
  </si>
  <si>
    <t>C</t>
  </si>
  <si>
    <t>Sıkı yada Orta sıkı Kum, Çakıl veya sert kil</t>
  </si>
  <si>
    <t>D</t>
  </si>
  <si>
    <t>Gevşek den orta sıkıya kadar Kohezyonsuz zemin veya Yumuşak dan sert'e kadar Kohezyonlu zemin</t>
  </si>
  <si>
    <t>Kaya yada diğer kaya benzeri formasyonlar</t>
  </si>
  <si>
    <t xml:space="preserve">180 &lt; Vs </t>
  </si>
  <si>
    <t>Eurocode 8'de Vs30'a göre Zemin Sınıflaması</t>
  </si>
  <si>
    <t>Sert Kaya</t>
  </si>
  <si>
    <t>Vs &gt; 1500</t>
  </si>
  <si>
    <t>Kaya</t>
  </si>
  <si>
    <t>180 &lt; Vs &lt;= 360</t>
  </si>
  <si>
    <t>760 &lt; Vs &lt;= 1500</t>
  </si>
  <si>
    <t>Çok sıkı / Sert zemin yada Yumuşak Kaya</t>
  </si>
  <si>
    <t>360 &lt; Vs &lt;= 760</t>
  </si>
  <si>
    <t>Sert / Sıkı Zemin</t>
  </si>
  <si>
    <t>Zayıf Zemin</t>
  </si>
  <si>
    <t>Vs &lt; 180</t>
  </si>
  <si>
    <t xml:space="preserve">Nerp Hükümlerinde ve Uniform Building Code'de       </t>
  </si>
  <si>
    <t>Vs30'a göre Zemin Sınıflaması</t>
  </si>
  <si>
    <t>( Ercan 2001)</t>
  </si>
  <si>
    <t xml:space="preserve">                 SİSMİK HIZ ORANINA GÖRE ZEMİN SIKILIĞI                                                         </t>
  </si>
  <si>
    <t>ZEMİN DURUMU</t>
  </si>
  <si>
    <t>0 - 0.25</t>
  </si>
  <si>
    <t>Gözeneksiz</t>
  </si>
  <si>
    <t>0.25 - 0.40</t>
  </si>
  <si>
    <t>0.40 - 0.45</t>
  </si>
  <si>
    <t>VP / VS</t>
  </si>
  <si>
    <t>Cıvık - Sıvı</t>
  </si>
  <si>
    <t>Vp</t>
  </si>
  <si>
    <t>&lt; 458</t>
  </si>
  <si>
    <t>458 -1220</t>
  </si>
  <si>
    <t>1220 -1525</t>
  </si>
  <si>
    <t>1525 - 1830</t>
  </si>
  <si>
    <t>1830 - 2135</t>
  </si>
  <si>
    <t>&gt; 2135</t>
  </si>
  <si>
    <t>S  DALGA HIZINA GÖRE SINIFLAMA</t>
  </si>
  <si>
    <r>
      <t xml:space="preserve">T=(4h/Vs)Vs  </t>
    </r>
    <r>
      <rPr>
        <sz val="8"/>
        <color theme="0"/>
        <rFont val="Calibri"/>
        <family val="2"/>
        <charset val="162"/>
        <scheme val="minor"/>
      </rPr>
      <t>m/s</t>
    </r>
  </si>
  <si>
    <t xml:space="preserve">           Kazılabilirlik       (Bailay 1974)</t>
  </si>
  <si>
    <t xml:space="preserve">    Kazılabilirlik               (Bailay 1974)</t>
  </si>
  <si>
    <t>VS30 Dalga Hızı (m/sn)</t>
  </si>
  <si>
    <t xml:space="preserve">             KOHEZYONLU ZEMİNLERDE VS30  HIZLARINA GÖRE SINIFLAMA (Özaydın 1982)</t>
  </si>
  <si>
    <t xml:space="preserve">Nerp Hükümlerinde ve Uniform Building Code'de  </t>
  </si>
  <si>
    <t>MW1</t>
  </si>
  <si>
    <t>MW2</t>
  </si>
  <si>
    <t>MW3</t>
  </si>
  <si>
    <t>MW4</t>
  </si>
  <si>
    <t>MW5</t>
  </si>
  <si>
    <t>MW6</t>
  </si>
  <si>
    <t xml:space="preserve"> ELASTİSİTE MODÜLÜ II TABAKA ORTALAMASINA  GÖRE SIKIŞABİLİRLİGİ</t>
  </si>
  <si>
    <t>360 &lt; Vs &lt;= 800</t>
  </si>
  <si>
    <t>(B) zemin gurubu</t>
  </si>
  <si>
    <t>A gurubu zemin</t>
  </si>
  <si>
    <t>h1&lt;= 15m B gurubu zemin</t>
  </si>
  <si>
    <t>h1&gt;15m  B gurubu zemin</t>
  </si>
  <si>
    <t>h1&lt;= 15m C gurubu zemin</t>
  </si>
  <si>
    <t>15m&lt;h1&lt;=50m C gurubu zemin</t>
  </si>
  <si>
    <t>h1&lt;=10m  D gurubu zemin</t>
  </si>
  <si>
    <t>h1&gt;50 m C gurubu zemin</t>
  </si>
  <si>
    <t>h1&gt;10m D gurubu zemin</t>
  </si>
  <si>
    <t>AFET YÖNETMELİĞİNE GÖRE ZEMİN SINIFI</t>
  </si>
  <si>
    <t>TA-TB</t>
  </si>
  <si>
    <t>T=4h/Vs ve Mikrotremör</t>
  </si>
  <si>
    <t>MİKROTREMÖR'E GÖRE ZEMİN SINIFI</t>
  </si>
  <si>
    <t>YENİ YÖNETMELİK TASLAĞINA GÖRE SİSMİK YÖNTEMLERDEN ZEMİN SINIFLAMASI</t>
  </si>
  <si>
    <t>&lt;180</t>
  </si>
  <si>
    <t xml:space="preserve">Sahaya özel araştırma ve değerlendirme gerektiren zeminler </t>
  </si>
  <si>
    <t xml:space="preserve"> Deprem etkisi altında çökme ve potansiyel göçme risklerine sahip zeminler(sıvılaşabilir zeminler yüksek derecede hassas killer göçebilir zayıf çimentolu zeminler vb)</t>
  </si>
  <si>
    <t xml:space="preserve">Toplam kalınlığı 3 metreden fazla turba ve / veya organik içeriği yüksek killer  </t>
  </si>
  <si>
    <t>Toplam kalınlığı 6 metreden fazla olan yüksek plastisiteli (P1&gt;50) killer                                                                                                 4) Çok kalın (&gt;35m) yumuşak veya orta katı killer</t>
  </si>
  <si>
    <t>Çok kalın (&gt;35m) yumuşak veya orta katı killer</t>
  </si>
  <si>
    <t>760 - 1500</t>
  </si>
  <si>
    <t xml:space="preserve">360 - 760 </t>
  </si>
  <si>
    <t>180 - 360</t>
  </si>
  <si>
    <t>&gt;1500</t>
  </si>
  <si>
    <t xml:space="preserve">              VS</t>
  </si>
  <si>
    <t>0.1 - 0.27</t>
  </si>
  <si>
    <t>0.14 - 0.4</t>
  </si>
  <si>
    <t>0.2 - 0.6</t>
  </si>
  <si>
    <t>0.3 - 0.9</t>
  </si>
  <si>
    <t>0.45 - 1.35</t>
  </si>
  <si>
    <t>0.68 - 2</t>
  </si>
  <si>
    <t>0.1 - 0.30</t>
  </si>
  <si>
    <t>0.15 - 0.40</t>
  </si>
  <si>
    <t>0.1 5 - 0.60</t>
  </si>
  <si>
    <t>0.20 - 0.90</t>
  </si>
  <si>
    <t>SEÇ</t>
  </si>
  <si>
    <t>S DALGA HIZINDAN  VS30 HESAPLAMA</t>
  </si>
  <si>
    <t>DİNAMİK  ELASTİK  PARAMETRELER</t>
  </si>
  <si>
    <t>2. tabaka Ort.</t>
  </si>
  <si>
    <t>A0=AK=</t>
  </si>
  <si>
    <t>Kolay</t>
  </si>
  <si>
    <t>Zor</t>
  </si>
  <si>
    <t>Çok Kolay</t>
  </si>
  <si>
    <t>Orta</t>
  </si>
  <si>
    <t>Son derece zor</t>
  </si>
  <si>
    <t>Çok Zor</t>
  </si>
  <si>
    <t>Zayıf</t>
  </si>
  <si>
    <t>Sağlam</t>
  </si>
  <si>
    <t>Çok Zayıf</t>
  </si>
  <si>
    <t>Çok Sağlam</t>
  </si>
  <si>
    <t>Az</t>
  </si>
  <si>
    <t>Yüksek</t>
  </si>
  <si>
    <t>Çok Yüksek</t>
  </si>
  <si>
    <t>Çok Az</t>
  </si>
  <si>
    <t>Sıkı-Katı</t>
  </si>
  <si>
    <t>Cıvık-Sıvı</t>
  </si>
  <si>
    <t>Düşük</t>
  </si>
  <si>
    <t>Çok Düşük</t>
  </si>
  <si>
    <t>Orta Tehlike</t>
  </si>
  <si>
    <t>Yüksek Tehlike</t>
  </si>
  <si>
    <t>Düşük Tehlike</t>
  </si>
  <si>
    <t>Çok Yüksek Tehlike</t>
  </si>
  <si>
    <t>Orta Katı</t>
  </si>
  <si>
    <t>Yumuşak</t>
  </si>
  <si>
    <t>YENİ DEPREM YÖNETMELİĞİNE GÖRE (2019 )</t>
  </si>
  <si>
    <r>
      <t>VS30(</t>
    </r>
    <r>
      <rPr>
        <b/>
        <sz val="9"/>
        <color theme="1"/>
        <rFont val="Arial"/>
        <family val="2"/>
        <charset val="162"/>
      </rPr>
      <t>ort</t>
    </r>
    <r>
      <rPr>
        <b/>
        <sz val="12"/>
        <color theme="1"/>
        <rFont val="Arial"/>
        <family val="2"/>
        <charset val="162"/>
      </rPr>
      <t>) TABAKA  HIZI</t>
    </r>
  </si>
  <si>
    <r>
      <t xml:space="preserve">ZEMİN SPEKTRAL BÜYÜTMESİ   </t>
    </r>
    <r>
      <rPr>
        <sz val="12"/>
        <color theme="1"/>
        <rFont val="Arial"/>
        <family val="2"/>
        <charset val="162"/>
      </rPr>
      <t xml:space="preserve"> </t>
    </r>
    <r>
      <rPr>
        <sz val="10"/>
        <color theme="1"/>
        <rFont val="Arial"/>
        <family val="2"/>
        <charset val="162"/>
      </rPr>
      <t>(Zayıf Hareket)</t>
    </r>
  </si>
  <si>
    <r>
      <t xml:space="preserve">ZEMİN SPEKTRAL BÜYÜTMESİ   </t>
    </r>
    <r>
      <rPr>
        <sz val="12"/>
        <color theme="1"/>
        <rFont val="Arial"/>
        <family val="2"/>
        <charset val="162"/>
      </rPr>
      <t xml:space="preserve"> </t>
    </r>
    <r>
      <rPr>
        <sz val="10"/>
        <color theme="1"/>
        <rFont val="Arial"/>
        <family val="2"/>
        <charset val="162"/>
      </rPr>
      <t>(Kuvvetli Hareket)</t>
    </r>
  </si>
  <si>
    <t>VS30 (ort) İÇİN HESAPLANAN ZEMİN HAKİM TİTREŞİM PERIYODU  (ZHTP) ve SPEKTRUM KARAKTERİSTİK PERIYOTLARI  (TA , TB)</t>
  </si>
  <si>
    <t>Zemin   Sınıfı</t>
  </si>
  <si>
    <t>0.45-1.35</t>
  </si>
  <si>
    <t>0.66-2</t>
  </si>
  <si>
    <t>VS30 ort</t>
  </si>
  <si>
    <t>2019 DEPREM YÖNETMELİĞİNE GÖRE ZEMİN SINIFI</t>
  </si>
  <si>
    <t>Spektrum Karakteristik Periyotları (üst-Alt)</t>
  </si>
  <si>
    <t>ZEMİN GURUBU</t>
  </si>
  <si>
    <r>
      <t>VS30</t>
    </r>
    <r>
      <rPr>
        <b/>
        <sz val="9"/>
        <color theme="0"/>
        <rFont val="Calibri"/>
        <family val="2"/>
        <charset val="162"/>
        <scheme val="minor"/>
      </rPr>
      <t xml:space="preserve"> ort</t>
    </r>
    <r>
      <rPr>
        <b/>
        <sz val="11"/>
        <color theme="0"/>
        <rFont val="Calibri"/>
        <family val="2"/>
        <charset val="162"/>
        <scheme val="minor"/>
      </rPr>
      <t xml:space="preserve"> (m/sn)</t>
    </r>
  </si>
  <si>
    <t>VS30 ort (m/sn)</t>
  </si>
  <si>
    <r>
      <t xml:space="preserve">VS30 </t>
    </r>
    <r>
      <rPr>
        <b/>
        <sz val="8"/>
        <color theme="0"/>
        <rFont val="Calibri"/>
        <family val="2"/>
        <charset val="162"/>
        <scheme val="minor"/>
      </rPr>
      <t>ort.</t>
    </r>
    <r>
      <rPr>
        <b/>
        <sz val="11"/>
        <color theme="0"/>
        <rFont val="Calibri"/>
        <family val="2"/>
        <charset val="162"/>
        <scheme val="minor"/>
      </rPr>
      <t xml:space="preserve"> (m/sn)</t>
    </r>
  </si>
  <si>
    <r>
      <t xml:space="preserve">İNCELEME ALANIVS30 </t>
    </r>
    <r>
      <rPr>
        <b/>
        <sz val="8"/>
        <color theme="0"/>
        <rFont val="Calibri"/>
        <family val="2"/>
        <charset val="162"/>
        <scheme val="minor"/>
      </rPr>
      <t>(ort.)</t>
    </r>
    <r>
      <rPr>
        <b/>
        <sz val="10"/>
        <color theme="0"/>
        <rFont val="Calibri"/>
        <family val="2"/>
        <charset val="162"/>
        <scheme val="minor"/>
      </rPr>
      <t xml:space="preserve"> </t>
    </r>
    <r>
      <rPr>
        <b/>
        <sz val="11"/>
        <color theme="0"/>
        <rFont val="Calibri"/>
        <family val="2"/>
        <charset val="162"/>
        <scheme val="minor"/>
      </rPr>
      <t>İÇİN ZEMİN BÜYÜTMESİ</t>
    </r>
  </si>
  <si>
    <r>
      <t xml:space="preserve">İNCELEME ALANININ VS30 ort  </t>
    </r>
    <r>
      <rPr>
        <b/>
        <sz val="10"/>
        <color theme="0"/>
        <rFont val="Calibri"/>
        <family val="2"/>
        <charset val="162"/>
        <scheme val="minor"/>
      </rPr>
      <t>ZEMİN BÜYÜTMESİ</t>
    </r>
  </si>
  <si>
    <r>
      <t>VS30</t>
    </r>
    <r>
      <rPr>
        <b/>
        <sz val="8"/>
        <color theme="0"/>
        <rFont val="Calibri"/>
        <family val="2"/>
        <charset val="162"/>
        <scheme val="minor"/>
      </rPr>
      <t xml:space="preserve"> (ort)</t>
    </r>
    <r>
      <rPr>
        <b/>
        <sz val="9"/>
        <color theme="0"/>
        <rFont val="Calibri"/>
        <family val="2"/>
        <charset val="162"/>
        <scheme val="minor"/>
      </rPr>
      <t xml:space="preserve"> Hızı (m/sn)</t>
    </r>
  </si>
  <si>
    <t>VS30 (ort)(m/sn)</t>
  </si>
  <si>
    <t>VS30 (ort) Dalga Hızı (m/sn)</t>
  </si>
  <si>
    <r>
      <t xml:space="preserve">VS30 </t>
    </r>
    <r>
      <rPr>
        <b/>
        <sz val="8"/>
        <color theme="0"/>
        <rFont val="Calibri"/>
        <family val="2"/>
        <charset val="162"/>
        <scheme val="minor"/>
      </rPr>
      <t>ort</t>
    </r>
  </si>
  <si>
    <r>
      <t>VS30</t>
    </r>
    <r>
      <rPr>
        <b/>
        <sz val="10"/>
        <color theme="1"/>
        <rFont val="Calibri"/>
        <family val="2"/>
        <charset val="162"/>
        <scheme val="minor"/>
      </rPr>
      <t>(ort)</t>
    </r>
    <r>
      <rPr>
        <b/>
        <sz val="12"/>
        <color theme="1"/>
        <rFont val="Calibri"/>
        <family val="2"/>
        <charset val="162"/>
        <scheme val="minor"/>
      </rPr>
      <t>değerine göre Tabakaların zemin büyütmesi</t>
    </r>
  </si>
  <si>
    <r>
      <t>VS30</t>
    </r>
    <r>
      <rPr>
        <b/>
        <sz val="10"/>
        <color theme="1"/>
        <rFont val="Calibri"/>
        <family val="2"/>
        <charset val="162"/>
        <scheme val="minor"/>
      </rPr>
      <t>(ort)</t>
    </r>
    <r>
      <rPr>
        <b/>
        <sz val="11"/>
        <color theme="1"/>
        <rFont val="Calibri"/>
        <family val="2"/>
        <charset val="162"/>
        <scheme val="minor"/>
      </rPr>
      <t xml:space="preserve"> için NEHRP-UBC ve TS EN 1998-1(Eurocode 8) Tanımlaması</t>
    </r>
  </si>
  <si>
    <t xml:space="preserve">     DES lokasyon koordinatları</t>
  </si>
  <si>
    <t>Yöntem Seç</t>
  </si>
  <si>
    <t>Hesaplama</t>
  </si>
  <si>
    <t>BORCHERDT-1991</t>
  </si>
  <si>
    <t>ANSAL-2004</t>
  </si>
  <si>
    <t>KEÇELİ-1990</t>
  </si>
  <si>
    <t>BİLGİN-1986</t>
  </si>
  <si>
    <t>LANKDON-1999</t>
  </si>
  <si>
    <t>T01 (sn) (0.67*To)</t>
  </si>
  <si>
    <t>T02 (sn) (1.5*T0)</t>
  </si>
  <si>
    <r>
      <rPr>
        <b/>
        <sz val="9"/>
        <color theme="1"/>
        <rFont val="Arial"/>
        <family val="2"/>
        <charset val="162"/>
      </rPr>
      <t>AHSA</t>
    </r>
    <r>
      <rPr>
        <b/>
        <sz val="12"/>
        <color theme="1"/>
        <rFont val="Arial"/>
        <family val="2"/>
        <charset val="162"/>
      </rPr>
      <t>-%</t>
    </r>
  </si>
  <si>
    <t>SIVILAŞMA HESABI</t>
  </si>
  <si>
    <t>VS</t>
  </si>
  <si>
    <t>Amax : Max İvme</t>
  </si>
  <si>
    <t>GK</t>
  </si>
  <si>
    <t>Kayma defarmasyonu</t>
  </si>
  <si>
    <t>At: Eşik İvme</t>
  </si>
  <si>
    <t>Ad:Tasarım İvme</t>
  </si>
  <si>
    <t>g</t>
  </si>
  <si>
    <t>m/sn</t>
  </si>
  <si>
    <t>H: Derinlik</t>
  </si>
  <si>
    <t>PGA değeri</t>
  </si>
  <si>
    <t>PGA</t>
  </si>
  <si>
    <t>1.Derece Dep Böl.</t>
  </si>
  <si>
    <t>2.Derece Dep Böl.</t>
  </si>
  <si>
    <t>3.Derece Dep Böl.</t>
  </si>
  <si>
    <t>4.Derece Dep Böl.</t>
  </si>
  <si>
    <t>PGA=</t>
  </si>
  <si>
    <t>Mw</t>
  </si>
  <si>
    <t>Ambraseys(1988)</t>
  </si>
  <si>
    <t>Ms</t>
  </si>
  <si>
    <t>Oluşacak bir depremin sıvılaşma yaratabileceği max.mesafe</t>
  </si>
  <si>
    <t>R Km</t>
  </si>
  <si>
    <t>Km</t>
  </si>
  <si>
    <t>Ulusay(2000)</t>
  </si>
  <si>
    <t>Sıvılaşmayı Tetikleyebilecek Deprem Moment Büyüklüğü</t>
  </si>
  <si>
    <t>EMNİYETLİ TAŞIMA GÜCÜ (qa/Kpa)</t>
  </si>
  <si>
    <t>Vs</t>
  </si>
  <si>
    <t>d</t>
  </si>
  <si>
    <t>%</t>
  </si>
  <si>
    <t xml:space="preserve"> Tabaka Su İçeriği (W %)</t>
  </si>
  <si>
    <t>SERBEST BASINÇ DAYANIMI (kg/cm2)</t>
  </si>
  <si>
    <t>Vs1</t>
  </si>
  <si>
    <t>Vs2</t>
  </si>
  <si>
    <t>Uchiyama (1984)</t>
  </si>
  <si>
    <t>S</t>
  </si>
  <si>
    <t>Tezcan (2004)</t>
  </si>
  <si>
    <t>KUMLU ZEMİNLER İÇİN</t>
  </si>
  <si>
    <t xml:space="preserve">Şev açısı </t>
  </si>
  <si>
    <t>İçsel Sürtünme açısı</t>
  </si>
  <si>
    <t>Gk</t>
  </si>
  <si>
    <t>Deprem İvmesi</t>
  </si>
  <si>
    <t>N1(min)</t>
  </si>
  <si>
    <t>Şev Açısı, a</t>
  </si>
  <si>
    <t>İçsel Sürtünme Açısı, f</t>
  </si>
  <si>
    <t>Makine den Okuma</t>
  </si>
  <si>
    <t>Vs/30   (m/sn)</t>
  </si>
  <si>
    <r>
      <t>Y</t>
    </r>
    <r>
      <rPr>
        <sz val="9"/>
        <color rgb="FFFF0000"/>
        <rFont val="Calibri"/>
        <family val="2"/>
        <charset val="162"/>
        <scheme val="minor"/>
      </rPr>
      <t>öntem Seç</t>
    </r>
  </si>
  <si>
    <t>Alana ait PGA değerini girin</t>
  </si>
  <si>
    <t>Seç</t>
  </si>
  <si>
    <t>SİSMİK YÖNTEM İLE ZEMİN TAŞIMA KAPASİTESİ VE OTURMASININ SAPTANMASI   (Ali KEÇELİ)</t>
  </si>
  <si>
    <t>Zemin türüne göre VP/VS ve (FS) değiĢimi</t>
  </si>
  <si>
    <t>Zemin Türü</t>
  </si>
  <si>
    <t>( Vp / Vs )</t>
  </si>
  <si>
    <t>Güvenlik
sayısı(FS)</t>
  </si>
  <si>
    <t>Kaya ortamlarda</t>
  </si>
  <si>
    <t>1.45 - 2</t>
  </si>
  <si>
    <t>Çok sıkı sert ortamlarda</t>
  </si>
  <si>
    <t>1.5 – 2</t>
  </si>
  <si>
    <t>Sıkı katı ortamlarda</t>
  </si>
  <si>
    <t>2 – 3</t>
  </si>
  <si>
    <t>Orta sıkı bozuĢmuĢ ortamlarda</t>
  </si>
  <si>
    <t>3 – 4</t>
  </si>
  <si>
    <t>GevĢek yumuĢak ortamlarda</t>
  </si>
  <si>
    <t>4 – 6</t>
  </si>
  <si>
    <t>GevĢek yer altı suyuna doygun</t>
  </si>
  <si>
    <t>5 – 8</t>
  </si>
  <si>
    <t>4 – 5</t>
  </si>
  <si>
    <t>VP</t>
  </si>
  <si>
    <t>VS=</t>
  </si>
  <si>
    <t>DERİNLİK=</t>
  </si>
  <si>
    <t>Yoğunluk</t>
  </si>
  <si>
    <t>VP/VS</t>
  </si>
  <si>
    <t>FS=</t>
  </si>
  <si>
    <t>Zs</t>
  </si>
  <si>
    <t>Sismik Empedansi=</t>
  </si>
  <si>
    <t>(kg/m2s)</t>
  </si>
  <si>
    <t>qsınır</t>
  </si>
  <si>
    <t>Sınır Taşıma Kapasitesi=</t>
  </si>
  <si>
    <t>(kPa)</t>
  </si>
  <si>
    <t xml:space="preserve"> kg/cm2</t>
  </si>
  <si>
    <t>q e</t>
  </si>
  <si>
    <t>Emniyetli Taşıma Kapasitesi=</t>
  </si>
  <si>
    <t>E</t>
  </si>
  <si>
    <t>F</t>
  </si>
  <si>
    <t>MAX=</t>
  </si>
  <si>
    <t>MİN=</t>
  </si>
  <si>
    <t>VS30</t>
  </si>
  <si>
    <t>.</t>
  </si>
  <si>
    <t>VS30 DEĞERİ İÇİN SIVILAŞMA DURUMU</t>
  </si>
  <si>
    <t>MİN :</t>
  </si>
  <si>
    <t>MAK :</t>
  </si>
  <si>
    <t>P DALGA HIZI (I Tabaka) (m/sn)</t>
  </si>
  <si>
    <t>P DALGA HIZI (II Tabaka) (m/sn)</t>
  </si>
  <si>
    <t>S DALGA HIZI (I Tabaka) (m/sn)</t>
  </si>
  <si>
    <t>S DALGA HIZI (II Tabaka) (m/sn)</t>
  </si>
  <si>
    <t>Aralığındadır.</t>
  </si>
  <si>
    <t>P DALGA HIZLARI</t>
  </si>
  <si>
    <t>S DALGA HIZLARI</t>
  </si>
  <si>
    <t>ELASTİSİTE</t>
  </si>
  <si>
    <t>KAYMA MODÜLÜ</t>
  </si>
  <si>
    <t>BULK MODÜLÜ</t>
  </si>
  <si>
    <t>YOĞUNLUK</t>
  </si>
  <si>
    <t>HIZ ORANI</t>
  </si>
  <si>
    <t>ELASTİSİTE MODÜLÜ (I Tabaka) (m/sn)</t>
  </si>
  <si>
    <t>ELASTİSİTE MODÜLÜ (II Tabaka) (m/sn)</t>
  </si>
  <si>
    <t>KAYMA MODÜLÜ (I Tabaka) (m/sn)</t>
  </si>
  <si>
    <t>KAYMA MODÜLÜI (II Tabaka) (m/sn)</t>
  </si>
  <si>
    <t>BULK MODÜLÜ (I Tabaka) (m/sn)</t>
  </si>
  <si>
    <t>BULK MODÜLÜ (II Tabaka) (m/sn)</t>
  </si>
  <si>
    <t>POİSSON ORANI (I Tabaka) (m/sn)</t>
  </si>
  <si>
    <t>POİSSON ORANI (II Tabaka) (m/sn)</t>
  </si>
  <si>
    <t>YOĞUNLUK (I Tabaka) (m/sn)</t>
  </si>
  <si>
    <t>YOĞUNLUK (II Tabaka) (m/sn)</t>
  </si>
  <si>
    <t>HIZ ORANI (I Tabaka) (m/sn)</t>
  </si>
  <si>
    <t>HIZ ORANI (II Tabaka) (m/sn)</t>
  </si>
  <si>
    <t>MİN =</t>
  </si>
  <si>
    <t>MAK =</t>
  </si>
  <si>
    <t>H/V (f0)</t>
  </si>
  <si>
    <t>ZEMİN BÜYÜTMESİ (A0)</t>
  </si>
  <si>
    <t>PERİYOT (T0)</t>
  </si>
  <si>
    <t>DES</t>
  </si>
  <si>
    <t>SONUÇ VE ÖNERİLER</t>
  </si>
  <si>
    <t>T01 (Ta)</t>
  </si>
  <si>
    <t>T02 (Tb)</t>
  </si>
  <si>
    <t>GK =</t>
  </si>
  <si>
    <t>SU İÇERİĞİ %</t>
  </si>
  <si>
    <t xml:space="preserve">ZEMİN HAKİM TİTREŞİM PERIYODU  (ZHTP) </t>
  </si>
  <si>
    <t>İNCELEME ALANIVS30 (ort.) İÇİN ZEMİN BÜYÜTMESİ</t>
  </si>
  <si>
    <t>Sismik Hızlardan Taşıma Gücü (qf) ve Güvenli Taşıma Gücü (qa) Eşitlikleri</t>
  </si>
  <si>
    <t>KEÇELİ</t>
  </si>
  <si>
    <t>Taşıma gücü = qf</t>
  </si>
  <si>
    <t>Güvenli taşıma gücü = qa</t>
  </si>
  <si>
    <t>kg/cm2</t>
  </si>
  <si>
    <t>B&lt;=1.22m</t>
  </si>
  <si>
    <t>B&gt;=1.22m</t>
  </si>
  <si>
    <t>B= temel kısa kenar</t>
  </si>
  <si>
    <t>Df= temel kazı derinliği</t>
  </si>
  <si>
    <t>K=1+0.33(df/b)    &lt;=1.33</t>
  </si>
  <si>
    <t>Df=</t>
  </si>
  <si>
    <t>B=</t>
  </si>
  <si>
    <t>1  tabaka</t>
  </si>
  <si>
    <t>2 tabaka</t>
  </si>
  <si>
    <t>VS-MİN</t>
  </si>
  <si>
    <t>VS-MAK</t>
  </si>
  <si>
    <t>yoğunluk</t>
  </si>
  <si>
    <t>1 tabaka</t>
  </si>
  <si>
    <t>DÜŞEYARA(H2;B3:F25;3;O20;YANLIŞ)</t>
  </si>
  <si>
    <t xml:space="preserve">VS En Düşük  1 tabaka için </t>
  </si>
  <si>
    <t xml:space="preserve">VS En Yüksek  1 tabaka için </t>
  </si>
  <si>
    <t xml:space="preserve">VS En Düşük  2 tabaka için </t>
  </si>
  <si>
    <t xml:space="preserve">VS En Yüksek  2 tabaka için </t>
  </si>
  <si>
    <t>EĞER(Sismik!C7=0;Sismik!C7="";Sismik!C7)</t>
  </si>
  <si>
    <t>S----</t>
  </si>
  <si>
    <t>kurtuluş  2000</t>
  </si>
  <si>
    <t>Keçeli  2012</t>
  </si>
  <si>
    <t>NO</t>
  </si>
  <si>
    <t>Olus tarihi</t>
  </si>
  <si>
    <t>Olus zamani</t>
  </si>
  <si>
    <t>Enlem</t>
  </si>
  <si>
    <t>Boylam</t>
  </si>
  <si>
    <t>Der(km)</t>
  </si>
  <si>
    <t>xM</t>
  </si>
  <si>
    <t>Yer</t>
  </si>
  <si>
    <t>M</t>
  </si>
  <si>
    <t>Adet</t>
  </si>
  <si>
    <t>4.5&lt;=M&lt;5</t>
  </si>
  <si>
    <t>5&lt;=M&lt;5.5</t>
  </si>
  <si>
    <t>5.5&lt;=M&lt;6</t>
  </si>
  <si>
    <t>6&lt;=M&lt;6.5</t>
  </si>
  <si>
    <t>6.5&lt;=M&lt;7</t>
  </si>
  <si>
    <t>7&lt;=M&lt;7.5</t>
  </si>
  <si>
    <t>TOPLAM =</t>
  </si>
  <si>
    <t>Enbüyük  xM =</t>
  </si>
  <si>
    <t>Yıllar</t>
  </si>
  <si>
    <t>Deprem Sayısı</t>
  </si>
  <si>
    <t>Vs =</t>
  </si>
  <si>
    <t>vp =</t>
  </si>
  <si>
    <t>Yoğunluk =</t>
  </si>
  <si>
    <t>Taşıma Kapasitesi</t>
  </si>
  <si>
    <t>Sismik Hızlardan Taşıma Kapasitesi Hesabı (kg/cm2)</t>
  </si>
  <si>
    <t>TOPLAM  M=</t>
  </si>
  <si>
    <t>Sismik Serim</t>
  </si>
  <si>
    <t>Vs30</t>
  </si>
  <si>
    <t>VS30 için Zemin Sınıfı</t>
  </si>
  <si>
    <t>Vs  (m/sn)</t>
  </si>
  <si>
    <t>VS Hızlarına Göre Tabakaların  Zemin Sınıfı</t>
  </si>
  <si>
    <t>K: Zemin Hasar Durumu</t>
  </si>
  <si>
    <t>K&lt;20 Hasar oluşmaz</t>
  </si>
  <si>
    <t>K&gt;20 Hasar olusur</t>
  </si>
  <si>
    <t xml:space="preserve">    K= A0/ To                                                     NAKAMURA 1997</t>
  </si>
  <si>
    <t>A0=</t>
  </si>
  <si>
    <t>MT 1=</t>
  </si>
  <si>
    <t>MT 2=</t>
  </si>
  <si>
    <t>MT 3=</t>
  </si>
  <si>
    <t>MT 4=</t>
  </si>
  <si>
    <t>MT 5=</t>
  </si>
  <si>
    <t>MT 6=</t>
  </si>
  <si>
    <t xml:space="preserve"> NAKAMURA 1997</t>
  </si>
  <si>
    <t>MİKROTREMOR VERİLERİNE GÖRE SIVILAŞMA  DURUMU</t>
  </si>
  <si>
    <t>M magnitüdünde bir depremin sıvılaşma yaratabileceği uzaklık</t>
  </si>
  <si>
    <t>M=</t>
  </si>
  <si>
    <t>(0.87M-5)</t>
  </si>
  <si>
    <t>(Iwasaki ve Tokida, 1978)</t>
  </si>
  <si>
    <t>km</t>
  </si>
  <si>
    <t xml:space="preserve">DM (km ) = </t>
  </si>
  <si>
    <t xml:space="preserve">  Dm=0.812x10</t>
  </si>
  <si>
    <t>d=</t>
  </si>
  <si>
    <t>d=depreme en yakın dik uzaklık (km)</t>
  </si>
  <si>
    <t>km dir.</t>
  </si>
  <si>
    <t>Magnetütlü bir depremin sıvılaşma yaratabilmesi için</t>
  </si>
  <si>
    <t xml:space="preserve"> gereken dik uzaklık </t>
  </si>
  <si>
    <t>TAN(RADYAN(39))</t>
  </si>
  <si>
    <t>a&lt;=f  olmalıdır</t>
  </si>
  <si>
    <t>Mw=</t>
  </si>
  <si>
    <t>T0 ort =</t>
  </si>
  <si>
    <t>A0 ort =</t>
  </si>
  <si>
    <t>VS30 Hızına Bağlı Olarak Sıvılaşma Potansiyelini Hesaplama</t>
  </si>
  <si>
    <t>amax=</t>
  </si>
  <si>
    <t>rd=</t>
  </si>
  <si>
    <t>at: Sıvılaşma oluşturabilecek yatay eşik ivme (g).</t>
  </si>
  <si>
    <t>Z=</t>
  </si>
  <si>
    <t>Nt: Eşik kesme biçim değiştirmesi (Nt=0.0001 kabulü yapılmış ve bu değere karşılık gelen</t>
  </si>
  <si>
    <t>G/Genb değeri de 0.8 kabul edilmiştir).</t>
  </si>
  <si>
    <t>Fa=1.6*(at/amax) tanımı yapılır. Eğer;</t>
  </si>
  <si>
    <t>Fa ≥1 ise, sıvılaşma düşüktür.</t>
  </si>
  <si>
    <t>Fa&lt; ise, sıvılaşma yüksektir.</t>
  </si>
  <si>
    <t xml:space="preserve">at/g = {Nt * (G/Genb)t*Vs2} / {z*g*rd}, (Dobry ve diğ., 1992) </t>
  </si>
  <si>
    <t>rd = 1-0.015*z</t>
  </si>
  <si>
    <t>amax= 0.40</t>
  </si>
  <si>
    <t>Vs: Kayma dalgası hızı (m/s).</t>
  </si>
  <si>
    <t>z: Sıvılaşabilir katmanın yüzeyden derinliği (m.).</t>
  </si>
  <si>
    <t>rd: Yerin derinlikle artan sıvılaşmaya karşı direncini temsil eden azaltma faktörü olarak kabul</t>
  </si>
  <si>
    <t>edilmektedir.</t>
  </si>
  <si>
    <t xml:space="preserve">at/g = </t>
  </si>
  <si>
    <t>Fa=</t>
  </si>
  <si>
    <t>VS30=</t>
  </si>
  <si>
    <t>Vs30: Kayma dalgası hızı (m/s).</t>
  </si>
  <si>
    <t>KAYMA DİRENCİ ORANI</t>
  </si>
  <si>
    <t xml:space="preserve">KDO= </t>
  </si>
  <si>
    <t>Kayma Drenci Oranı</t>
  </si>
  <si>
    <t>(Zeminin doğal direncidir.)</t>
  </si>
  <si>
    <t>(a(VSc/100)^2+b((1/(VSMax-VSc))-(1/Vsmax)))MSF</t>
  </si>
  <si>
    <t xml:space="preserve">MSF: Magnitüd skala faktörü </t>
  </si>
  <si>
    <t>MSF=</t>
  </si>
  <si>
    <t>n=</t>
  </si>
  <si>
    <t>üssel bir sabittir</t>
  </si>
  <si>
    <t>Mw: Moment magnitüd</t>
  </si>
  <si>
    <t>Vsc : Düzeltilmiş kayma dalga hızı</t>
  </si>
  <si>
    <t>Vsmax: Sıvılaşmanın oluşabileceği düzeltilmiş kayma dalga hızı</t>
  </si>
  <si>
    <t>KDO=</t>
  </si>
  <si>
    <t xml:space="preserve"> Uyanık (2006)</t>
  </si>
  <si>
    <t>Gözenekli - Porozlu</t>
  </si>
  <si>
    <t>Gözenekli - Suya doygun</t>
  </si>
  <si>
    <t>Zemin Gözenekliliği</t>
  </si>
  <si>
    <t xml:space="preserve"> Güncelleme   tarihi</t>
  </si>
  <si>
    <t>Zemin Hakim Titreşim Periyodu To</t>
  </si>
  <si>
    <t>Oturma</t>
  </si>
  <si>
    <t>T01 - T02</t>
  </si>
  <si>
    <t>Plastik Oturma Etkin Derinliği</t>
  </si>
  <si>
    <t>Düşey Yatak Katsayısı</t>
  </si>
  <si>
    <t>Spektral Büyütme Zayıf</t>
  </si>
  <si>
    <t>Spektral Büyütme Kuvvetli</t>
  </si>
  <si>
    <r>
      <t>qf (kg/cm</t>
    </r>
    <r>
      <rPr>
        <b/>
        <vertAlign val="superscript"/>
        <sz val="10"/>
        <rFont val="Arial Tur"/>
        <family val="2"/>
        <charset val="162"/>
      </rPr>
      <t>2</t>
    </r>
    <r>
      <rPr>
        <b/>
        <sz val="10"/>
        <rFont val="Arial Tur"/>
        <family val="2"/>
        <charset val="162"/>
      </rPr>
      <t>)</t>
    </r>
  </si>
  <si>
    <t>GÜVENLİ TAŞIMA GÜCÜ</t>
  </si>
  <si>
    <t>qa (kg/cm²)</t>
  </si>
  <si>
    <t>Güvenli Taşıma Gücü</t>
  </si>
  <si>
    <t xml:space="preserve">   AAAAAA  İLÇESİ  DEPREM RİSK ANALİZİ (2023)</t>
  </si>
  <si>
    <t>AB/2</t>
  </si>
  <si>
    <t>MN</t>
  </si>
  <si>
    <t xml:space="preserve">K </t>
  </si>
  <si>
    <t>Değişik metreler için K Faktörü</t>
  </si>
  <si>
    <t>N</t>
  </si>
  <si>
    <t>Max Episantral  mesafe</t>
  </si>
  <si>
    <t>R</t>
  </si>
  <si>
    <t>Deprem Büyüklüğü</t>
  </si>
  <si>
    <t>Sıvılaşabilir Maxsimum Mesafe</t>
  </si>
  <si>
    <t>Kuribayashi ve Tatsuoka (1975)</t>
  </si>
  <si>
    <t>Wakamatsu (1993)</t>
  </si>
  <si>
    <t>Sıvılaşmayı Tetikleyecek Depremin Büyüklüğü (Mw)</t>
  </si>
  <si>
    <t>Fay Uzaklığı  Km</t>
  </si>
  <si>
    <t>Ambraseys (1988)</t>
  </si>
  <si>
    <t>h</t>
  </si>
  <si>
    <t>m</t>
  </si>
  <si>
    <r>
      <t>K (kg/cm</t>
    </r>
    <r>
      <rPr>
        <b/>
        <sz val="8"/>
        <rFont val="Arial Tur"/>
        <charset val="162"/>
      </rPr>
      <t>2</t>
    </r>
    <r>
      <rPr>
        <b/>
        <sz val="10"/>
        <rFont val="Arial Tur"/>
        <family val="2"/>
        <charset val="162"/>
      </rPr>
      <t>)</t>
    </r>
  </si>
  <si>
    <r>
      <t>qu (kg/cm</t>
    </r>
    <r>
      <rPr>
        <b/>
        <vertAlign val="superscript"/>
        <sz val="10"/>
        <rFont val="Arial Tur"/>
        <family val="2"/>
        <charset val="162"/>
      </rPr>
      <t>2</t>
    </r>
    <r>
      <rPr>
        <b/>
        <sz val="10"/>
        <rFont val="Arial Tur"/>
        <family val="2"/>
        <charset val="162"/>
      </rPr>
      <t>)</t>
    </r>
  </si>
  <si>
    <r>
      <rPr>
        <b/>
        <i/>
        <sz val="14"/>
        <color theme="1"/>
        <rFont val="Calibri"/>
        <family val="2"/>
        <charset val="162"/>
        <scheme val="minor"/>
      </rPr>
      <t>qu</t>
    </r>
    <r>
      <rPr>
        <b/>
        <i/>
        <sz val="12"/>
        <color theme="1"/>
        <rFont val="Calibri"/>
        <family val="2"/>
        <charset val="162"/>
        <scheme val="minor"/>
      </rPr>
      <t xml:space="preserve"> Emniyetli Taşıma Gücü</t>
    </r>
  </si>
  <si>
    <t>Kayma Dalgası Hızı, Vs (m/sn)</t>
  </si>
  <si>
    <t>Şıkışma Dalgası Hızı, Vp (m/sn)</t>
  </si>
  <si>
    <t>Yoğunluk (gr/cm3)</t>
  </si>
  <si>
    <t>kPa</t>
  </si>
  <si>
    <t xml:space="preserve">Tezcan ve diğ. (2004) </t>
  </si>
  <si>
    <t>İvme Azalım İlişkisi</t>
  </si>
  <si>
    <t>Uyanık (2002)</t>
  </si>
  <si>
    <t>Parametre Katsayıları</t>
  </si>
  <si>
    <t>Vp30</t>
  </si>
  <si>
    <t>A1</t>
  </si>
  <si>
    <t>A2</t>
  </si>
  <si>
    <t>A3</t>
  </si>
  <si>
    <t>Deprem Büyüklüğü  (M)</t>
  </si>
  <si>
    <t>Tabaka Yogunlluğu (q)</t>
  </si>
  <si>
    <t>g/cm3</t>
  </si>
  <si>
    <t>Hiposantr uzaklığı   (Rhypo)</t>
  </si>
  <si>
    <t>Zemin Hakim Periyodu  ( T0)</t>
  </si>
  <si>
    <t>sn</t>
  </si>
  <si>
    <t>Zemin Etkisi  (ZE)</t>
  </si>
  <si>
    <t>Depremin Hakim  Periyodu (TD)</t>
  </si>
  <si>
    <t>cm/s2</t>
  </si>
  <si>
    <r>
      <t>Beklenen Yatay yer İvmesi (</t>
    </r>
    <r>
      <rPr>
        <b/>
        <i/>
        <sz val="14"/>
        <color indexed="18"/>
        <rFont val="Arial Tur"/>
        <family val="2"/>
        <charset val="162"/>
      </rPr>
      <t>a</t>
    </r>
    <r>
      <rPr>
        <b/>
        <i/>
        <sz val="10"/>
        <color indexed="18"/>
        <rFont val="Arial Tur"/>
        <family val="2"/>
        <charset val="162"/>
      </rPr>
      <t>)</t>
    </r>
  </si>
  <si>
    <t xml:space="preserve">Kayma Dalga Hızına (VS)  Bağlı Sıvılaşma Hesabı </t>
  </si>
  <si>
    <r>
      <t xml:space="preserve">Dobry ve diğ. (1981) </t>
    </r>
    <r>
      <rPr>
        <b/>
        <i/>
        <sz val="14"/>
        <color indexed="18"/>
        <rFont val="Calibri"/>
        <family val="2"/>
        <charset val="162"/>
        <scheme val="minor"/>
      </rPr>
      <t xml:space="preserve"> (Basit Yaklaşım)</t>
    </r>
  </si>
  <si>
    <t>amax</t>
  </si>
  <si>
    <t xml:space="preserve"> Deformasyon</t>
  </si>
  <si>
    <t xml:space="preserve">Sıvılaşma </t>
  </si>
  <si>
    <t xml:space="preserve">Diri fay'a olan Uzaklık  </t>
  </si>
  <si>
    <t>beyaz hücrelere veri giriniz</t>
  </si>
  <si>
    <t>CPT Verisinden Taşıma Gücü Hesabı</t>
  </si>
  <si>
    <r>
      <rPr>
        <b/>
        <i/>
        <sz val="12"/>
        <color theme="1"/>
        <rFont val="Calibri"/>
        <family val="2"/>
        <charset val="162"/>
        <scheme val="minor"/>
      </rPr>
      <t>qc</t>
    </r>
    <r>
      <rPr>
        <b/>
        <i/>
        <sz val="11"/>
        <color theme="1"/>
        <rFont val="Calibri"/>
        <family val="2"/>
        <charset val="162"/>
        <scheme val="minor"/>
      </rPr>
      <t>=Koni Uç Direnci</t>
    </r>
  </si>
  <si>
    <t>Df=Temel Derinliği</t>
  </si>
  <si>
    <t>mt</t>
  </si>
  <si>
    <t>B=Temel Genişliği</t>
  </si>
  <si>
    <t>qem=Emniyetli Taşıma Gücü</t>
  </si>
  <si>
    <t>kN/m2</t>
  </si>
  <si>
    <t>Meyerhof(1956)</t>
  </si>
  <si>
    <t>f0 = H/V doruk frekans</t>
  </si>
  <si>
    <t>A0 = f0 frekansının  H/V doruk genliği</t>
  </si>
  <si>
    <t>(f0)(Hz)</t>
  </si>
  <si>
    <t xml:space="preserve"> </t>
  </si>
  <si>
    <t>Zeminler için Hasar indeksi   ( K )  Nakamura(1997)</t>
  </si>
  <si>
    <r>
      <t>GÜVENLİ TAŞIMA</t>
    </r>
    <r>
      <rPr>
        <b/>
        <sz val="11"/>
        <rFont val="Arial Tur"/>
        <charset val="162"/>
      </rPr>
      <t xml:space="preserve"> </t>
    </r>
    <r>
      <rPr>
        <b/>
        <i/>
        <sz val="11"/>
        <rFont val="Arial Tur"/>
        <charset val="162"/>
      </rPr>
      <t>(Zemin Emniyet Gerilmesi)</t>
    </r>
  </si>
  <si>
    <t>Suya Doygun Gevşek Siltli-Kumlu Zeminler için</t>
  </si>
  <si>
    <t xml:space="preserve"> 1 Tabaka Ort.</t>
  </si>
  <si>
    <t xml:space="preserve"> 2 Tabaka Ort.</t>
  </si>
  <si>
    <t>VP30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</si>
</sst>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0;\-0;;@"/>
    <numFmt numFmtId="167" formatCode="0.000"/>
    <numFmt numFmtId="168" formatCode="0.000_ ;\-0.000\ "/>
    <numFmt numFmtId="169" formatCode="0.00_ ;\-0.00\ "/>
    <numFmt numFmtId="170" formatCode="0_ ;\-0\ "/>
    <numFmt numFmtId="171" formatCode="#,##0.000"/>
    <numFmt numFmtId="172" formatCode="#,##0.00_ ;\-#,##0.00\ "/>
    <numFmt numFmtId="173" formatCode="0.0000"/>
    <numFmt numFmtId="174" formatCode="0.000000"/>
  </numFmts>
  <fonts count="131">
    <font>
      <sz val="11"/>
      <color theme="1"/>
      <name val="Calibri"/>
      <family val="2"/>
      <charset val="162"/>
      <scheme val="minor"/>
    </font>
    <font>
      <b/>
      <sz val="11"/>
      <color theme="1"/>
      <name val="Calibri"/>
      <family val="2"/>
      <charset val="162"/>
      <scheme val="minor"/>
    </font>
    <font>
      <b/>
      <sz val="12"/>
      <name val="Arial Tur"/>
      <family val="2"/>
      <charset val="162"/>
    </font>
    <font>
      <b/>
      <sz val="10"/>
      <name val="Arial Tur"/>
      <family val="2"/>
      <charset val="162"/>
    </font>
    <font>
      <sz val="12"/>
      <name val="Arial Tur"/>
      <family val="2"/>
      <charset val="162"/>
    </font>
    <font>
      <b/>
      <vertAlign val="superscript"/>
      <sz val="10"/>
      <name val="Arial Tur"/>
      <family val="2"/>
      <charset val="162"/>
    </font>
    <font>
      <sz val="12"/>
      <name val="Arial Tur"/>
      <charset val="162"/>
    </font>
    <font>
      <b/>
      <sz val="8"/>
      <color theme="1"/>
      <name val="Calibri"/>
      <family val="2"/>
      <charset val="162"/>
      <scheme val="minor"/>
    </font>
    <font>
      <b/>
      <sz val="10"/>
      <color theme="1"/>
      <name val="Calibri"/>
      <family val="2"/>
      <charset val="162"/>
      <scheme val="minor"/>
    </font>
    <font>
      <sz val="12"/>
      <color theme="1"/>
      <name val="Calibri"/>
      <family val="2"/>
      <charset val="162"/>
      <scheme val="minor"/>
    </font>
    <font>
      <b/>
      <sz val="12"/>
      <color theme="1"/>
      <name val="Calibri"/>
      <family val="2"/>
      <charset val="162"/>
      <scheme val="minor"/>
    </font>
    <font>
      <b/>
      <sz val="12"/>
      <name val="Calibri"/>
      <family val="2"/>
      <charset val="162"/>
      <scheme val="minor"/>
    </font>
    <font>
      <b/>
      <sz val="7"/>
      <color theme="1"/>
      <name val="Calibri"/>
      <family val="2"/>
      <charset val="162"/>
      <scheme val="minor"/>
    </font>
    <font>
      <sz val="11"/>
      <name val="Calibri"/>
      <family val="2"/>
      <charset val="162"/>
      <scheme val="minor"/>
    </font>
    <font>
      <b/>
      <sz val="16"/>
      <name val="Arial Tur"/>
      <family val="2"/>
      <charset val="162"/>
    </font>
    <font>
      <b/>
      <sz val="6"/>
      <name val="Arial Tur"/>
      <charset val="162"/>
    </font>
    <font>
      <sz val="11"/>
      <color theme="0"/>
      <name val="Calibri"/>
      <family val="2"/>
      <charset val="162"/>
      <scheme val="minor"/>
    </font>
    <font>
      <b/>
      <sz val="14"/>
      <color theme="1"/>
      <name val="Calibri"/>
      <family val="2"/>
      <charset val="162"/>
      <scheme val="minor"/>
    </font>
    <font>
      <b/>
      <sz val="20"/>
      <color theme="1"/>
      <name val="Calibri"/>
      <family val="2"/>
      <charset val="162"/>
      <scheme val="minor"/>
    </font>
    <font>
      <sz val="9"/>
      <color indexed="81"/>
      <name val="Tahoma"/>
      <family val="2"/>
      <charset val="162"/>
    </font>
    <font>
      <b/>
      <sz val="9"/>
      <color indexed="81"/>
      <name val="Tahoma"/>
      <family val="2"/>
      <charset val="162"/>
    </font>
    <font>
      <b/>
      <sz val="8"/>
      <color indexed="81"/>
      <name val="Tahoma"/>
      <family val="2"/>
      <charset val="162"/>
    </font>
    <font>
      <b/>
      <sz val="9"/>
      <color theme="1"/>
      <name val="Calibri"/>
      <family val="2"/>
      <charset val="162"/>
      <scheme val="minor"/>
    </font>
    <font>
      <b/>
      <sz val="12"/>
      <color theme="1"/>
      <name val="Arial"/>
      <family val="2"/>
      <charset val="162"/>
    </font>
    <font>
      <sz val="12"/>
      <color theme="1"/>
      <name val="Arial"/>
      <family val="2"/>
      <charset val="162"/>
    </font>
    <font>
      <sz val="10"/>
      <color theme="1"/>
      <name val="Arial"/>
      <family val="2"/>
      <charset val="162"/>
    </font>
    <font>
      <sz val="10"/>
      <color theme="1"/>
      <name val="Calibri"/>
      <family val="2"/>
      <charset val="162"/>
      <scheme val="minor"/>
    </font>
    <font>
      <sz val="9"/>
      <color theme="1"/>
      <name val="Calibri"/>
      <family val="2"/>
      <charset val="162"/>
      <scheme val="minor"/>
    </font>
    <font>
      <b/>
      <sz val="11"/>
      <color rgb="FF444444"/>
      <name val="Calibri"/>
      <family val="2"/>
      <charset val="162"/>
      <scheme val="minor"/>
    </font>
    <font>
      <b/>
      <sz val="10"/>
      <name val="Arial Tur"/>
      <charset val="162"/>
    </font>
    <font>
      <b/>
      <sz val="11"/>
      <color theme="1"/>
      <name val="Arial"/>
      <family val="2"/>
      <charset val="162"/>
    </font>
    <font>
      <sz val="14"/>
      <color theme="1"/>
      <name val="Calibri"/>
      <family val="2"/>
      <charset val="162"/>
      <scheme val="minor"/>
    </font>
    <font>
      <sz val="11"/>
      <color rgb="FF000000"/>
      <name val="Verdana"/>
      <family val="2"/>
      <charset val="162"/>
    </font>
    <font>
      <b/>
      <sz val="11"/>
      <color rgb="FFFF0000"/>
      <name val="Calibri"/>
      <family val="2"/>
      <charset val="162"/>
      <scheme val="minor"/>
    </font>
    <font>
      <b/>
      <sz val="12"/>
      <name val="Arial Tur"/>
      <charset val="162"/>
    </font>
    <font>
      <b/>
      <sz val="16"/>
      <color theme="1"/>
      <name val="Calibri"/>
      <family val="2"/>
      <charset val="162"/>
      <scheme val="minor"/>
    </font>
    <font>
      <b/>
      <sz val="11"/>
      <name val="Times New Roman"/>
      <family val="1"/>
      <charset val="162"/>
    </font>
    <font>
      <sz val="11"/>
      <name val="Segoe UI"/>
      <family val="2"/>
      <charset val="162"/>
    </font>
    <font>
      <sz val="9"/>
      <name val="Calibri"/>
      <family val="2"/>
      <charset val="162"/>
      <scheme val="minor"/>
    </font>
    <font>
      <sz val="8"/>
      <name val="Calibri"/>
      <family val="2"/>
      <charset val="162"/>
      <scheme val="minor"/>
    </font>
    <font>
      <b/>
      <sz val="9"/>
      <color rgb="FF444444"/>
      <name val="Verdana"/>
      <family val="2"/>
      <charset val="162"/>
    </font>
    <font>
      <sz val="11"/>
      <color theme="1"/>
      <name val="Arial Tur"/>
      <charset val="162"/>
    </font>
    <font>
      <b/>
      <sz val="18"/>
      <color theme="1"/>
      <name val="Calibri"/>
      <family val="2"/>
      <charset val="162"/>
    </font>
    <font>
      <b/>
      <sz val="11"/>
      <name val="Calibri"/>
      <family val="2"/>
      <charset val="162"/>
      <scheme val="minor"/>
    </font>
    <font>
      <b/>
      <sz val="11"/>
      <color theme="0"/>
      <name val="Calibri"/>
      <family val="2"/>
      <charset val="162"/>
      <scheme val="minor"/>
    </font>
    <font>
      <b/>
      <sz val="12"/>
      <color theme="0"/>
      <name val="Calibri"/>
      <family val="2"/>
      <charset val="162"/>
      <scheme val="minor"/>
    </font>
    <font>
      <b/>
      <sz val="11"/>
      <color theme="0" tint="-4.9989318521683403E-2"/>
      <name val="Calibri"/>
      <family val="2"/>
      <charset val="162"/>
      <scheme val="minor"/>
    </font>
    <font>
      <b/>
      <sz val="9"/>
      <color theme="0"/>
      <name val="Calibri"/>
      <family val="2"/>
      <charset val="162"/>
      <scheme val="minor"/>
    </font>
    <font>
      <b/>
      <sz val="10"/>
      <color theme="0"/>
      <name val="Calibri"/>
      <family val="2"/>
      <charset val="162"/>
      <scheme val="minor"/>
    </font>
    <font>
      <sz val="8"/>
      <color theme="0"/>
      <name val="Calibri"/>
      <family val="2"/>
      <charset val="162"/>
      <scheme val="minor"/>
    </font>
    <font>
      <sz val="12"/>
      <color theme="0"/>
      <name val="Calibri"/>
      <family val="2"/>
      <charset val="162"/>
      <scheme val="minor"/>
    </font>
    <font>
      <sz val="8"/>
      <color theme="1"/>
      <name val="Calibri"/>
      <family val="2"/>
      <charset val="162"/>
      <scheme val="minor"/>
    </font>
    <font>
      <b/>
      <sz val="10"/>
      <name val="Calibri"/>
      <family val="2"/>
      <charset val="162"/>
      <scheme val="minor"/>
    </font>
    <font>
      <sz val="10"/>
      <color theme="0"/>
      <name val="Calibri"/>
      <family val="2"/>
      <charset val="162"/>
      <scheme val="minor"/>
    </font>
    <font>
      <sz val="11"/>
      <color theme="0" tint="-4.9989318521683403E-2"/>
      <name val="Calibri"/>
      <family val="2"/>
      <charset val="162"/>
      <scheme val="minor"/>
    </font>
    <font>
      <b/>
      <sz val="8"/>
      <color theme="0"/>
      <name val="Calibri"/>
      <family val="2"/>
      <charset val="162"/>
      <scheme val="minor"/>
    </font>
    <font>
      <b/>
      <sz val="9"/>
      <color theme="1"/>
      <name val="Arial"/>
      <family val="2"/>
      <charset val="162"/>
    </font>
    <font>
      <b/>
      <sz val="11"/>
      <color theme="4" tint="0.79998168889431442"/>
      <name val="Calibri"/>
      <family val="2"/>
      <charset val="162"/>
      <scheme val="minor"/>
    </font>
    <font>
      <b/>
      <sz val="11"/>
      <color theme="5" tint="0.59999389629810485"/>
      <name val="Calibri"/>
      <family val="2"/>
      <charset val="162"/>
      <scheme val="minor"/>
    </font>
    <font>
      <i/>
      <sz val="11"/>
      <color theme="1"/>
      <name val="Calibri"/>
      <family val="2"/>
      <charset val="162"/>
      <scheme val="minor"/>
    </font>
    <font>
      <i/>
      <sz val="11"/>
      <name val="Calibri"/>
      <family val="2"/>
      <charset val="162"/>
      <scheme val="minor"/>
    </font>
    <font>
      <b/>
      <i/>
      <sz val="11"/>
      <color theme="4" tint="0.79998168889431442"/>
      <name val="Calibri"/>
      <family val="2"/>
      <charset val="162"/>
      <scheme val="minor"/>
    </font>
    <font>
      <sz val="12"/>
      <color rgb="FF2F2F2F"/>
      <name val="Segoe UI"/>
      <family val="2"/>
      <charset val="162"/>
    </font>
    <font>
      <sz val="12"/>
      <color theme="0"/>
      <name val="Arial"/>
      <family val="2"/>
      <charset val="162"/>
    </font>
    <font>
      <sz val="11"/>
      <color rgb="FFFF0000"/>
      <name val="Calibri"/>
      <family val="2"/>
      <charset val="162"/>
      <scheme val="minor"/>
    </font>
    <font>
      <sz val="14"/>
      <color theme="0"/>
      <name val="Calibri"/>
      <family val="2"/>
      <charset val="162"/>
      <scheme val="minor"/>
    </font>
    <font>
      <b/>
      <sz val="10"/>
      <color rgb="FFFF0000"/>
      <name val="Arimo"/>
    </font>
    <font>
      <sz val="9"/>
      <color rgb="FFFF0000"/>
      <name val="Calibri"/>
      <family val="2"/>
      <charset val="162"/>
      <scheme val="minor"/>
    </font>
    <font>
      <b/>
      <i/>
      <sz val="11"/>
      <color theme="1"/>
      <name val="Calibri"/>
      <family val="2"/>
      <charset val="162"/>
      <scheme val="minor"/>
    </font>
    <font>
      <b/>
      <i/>
      <sz val="14"/>
      <color theme="1"/>
      <name val="Calibri"/>
      <family val="2"/>
      <charset val="162"/>
      <scheme val="minor"/>
    </font>
    <font>
      <b/>
      <i/>
      <sz val="12"/>
      <color theme="1"/>
      <name val="Calibri"/>
      <family val="2"/>
      <charset val="162"/>
      <scheme val="minor"/>
    </font>
    <font>
      <b/>
      <sz val="12"/>
      <color theme="0"/>
      <name val="Segoe UI"/>
      <family val="2"/>
      <charset val="162"/>
    </font>
    <font>
      <b/>
      <i/>
      <sz val="18"/>
      <color indexed="10"/>
      <name val="Arial Tur"/>
      <charset val="162"/>
    </font>
    <font>
      <sz val="11"/>
      <color rgb="FF1E1E1E"/>
      <name val="Calibri"/>
      <family val="2"/>
      <charset val="162"/>
      <scheme val="minor"/>
    </font>
    <font>
      <b/>
      <sz val="10"/>
      <color indexed="18"/>
      <name val="Arial Tur"/>
      <family val="2"/>
      <charset val="162"/>
    </font>
    <font>
      <sz val="10"/>
      <color indexed="18"/>
      <name val="Arial Tur"/>
      <family val="2"/>
      <charset val="162"/>
    </font>
    <font>
      <sz val="10"/>
      <color indexed="10"/>
      <name val="Arial Tur"/>
      <family val="2"/>
      <charset val="162"/>
    </font>
    <font>
      <sz val="10"/>
      <color indexed="9"/>
      <name val="Arial Tur"/>
      <family val="2"/>
      <charset val="162"/>
    </font>
    <font>
      <sz val="12"/>
      <color indexed="9"/>
      <name val="Arial Tur"/>
      <family val="2"/>
      <charset val="162"/>
    </font>
    <font>
      <b/>
      <i/>
      <sz val="10"/>
      <color theme="1"/>
      <name val="Calibri"/>
      <family val="2"/>
      <charset val="162"/>
      <scheme val="minor"/>
    </font>
    <font>
      <b/>
      <sz val="12"/>
      <color rgb="FFFF0000"/>
      <name val="Calibri"/>
      <family val="2"/>
      <charset val="162"/>
      <scheme val="minor"/>
    </font>
    <font>
      <b/>
      <i/>
      <sz val="9"/>
      <color theme="1"/>
      <name val="Calibri"/>
      <family val="2"/>
      <charset val="162"/>
      <scheme val="minor"/>
    </font>
    <font>
      <sz val="11"/>
      <color theme="1"/>
      <name val="Times New Roman"/>
      <family val="1"/>
      <charset val="162"/>
    </font>
    <font>
      <sz val="18"/>
      <color theme="1"/>
      <name val="Times New Roman"/>
      <family val="1"/>
      <charset val="162"/>
    </font>
    <font>
      <sz val="14"/>
      <color theme="1"/>
      <name val="Times New Roman"/>
      <family val="1"/>
      <charset val="162"/>
    </font>
    <font>
      <b/>
      <i/>
      <sz val="12"/>
      <color theme="1"/>
      <name val="Times New Roman"/>
      <family val="1"/>
      <charset val="162"/>
    </font>
    <font>
      <b/>
      <i/>
      <sz val="10"/>
      <color theme="1"/>
      <name val="Times New Roman"/>
      <family val="1"/>
      <charset val="162"/>
    </font>
    <font>
      <b/>
      <i/>
      <sz val="11"/>
      <color theme="1"/>
      <name val="Times New Roman"/>
      <family val="1"/>
      <charset val="162"/>
    </font>
    <font>
      <b/>
      <sz val="8"/>
      <color theme="3"/>
      <name val="Calibri"/>
      <family val="2"/>
      <charset val="162"/>
      <scheme val="minor"/>
    </font>
    <font>
      <b/>
      <i/>
      <sz val="11"/>
      <name val="Calibri"/>
      <family val="2"/>
      <charset val="162"/>
      <scheme val="minor"/>
    </font>
    <font>
      <b/>
      <i/>
      <sz val="10"/>
      <name val="Calibri"/>
      <family val="2"/>
      <charset val="162"/>
      <scheme val="minor"/>
    </font>
    <font>
      <b/>
      <i/>
      <sz val="14"/>
      <name val="Calibri"/>
      <family val="2"/>
      <charset val="162"/>
      <scheme val="minor"/>
    </font>
    <font>
      <b/>
      <sz val="14"/>
      <name val="Calibri"/>
      <family val="2"/>
      <charset val="162"/>
      <scheme val="minor"/>
    </font>
    <font>
      <b/>
      <i/>
      <sz val="12"/>
      <name val="Calibri"/>
      <family val="2"/>
      <charset val="162"/>
      <scheme val="minor"/>
    </font>
    <font>
      <b/>
      <sz val="10"/>
      <color indexed="10"/>
      <name val="Arial Tur"/>
      <family val="2"/>
      <charset val="162"/>
    </font>
    <font>
      <b/>
      <sz val="10"/>
      <color rgb="FFFF0000"/>
      <name val="Arial Tur"/>
      <family val="2"/>
      <charset val="162"/>
    </font>
    <font>
      <b/>
      <sz val="10"/>
      <color rgb="FF002060"/>
      <name val="Arial Tur"/>
      <family val="2"/>
      <charset val="162"/>
    </font>
    <font>
      <b/>
      <sz val="8"/>
      <name val="Arial Tur"/>
      <charset val="162"/>
    </font>
    <font>
      <b/>
      <sz val="10"/>
      <color rgb="FF000080"/>
      <name val="Arimo"/>
    </font>
    <font>
      <sz val="10"/>
      <color rgb="FF000080"/>
      <name val="Arimo"/>
    </font>
    <font>
      <b/>
      <sz val="12"/>
      <color rgb="FFFF0000"/>
      <name val="Arimo"/>
    </font>
    <font>
      <b/>
      <sz val="10"/>
      <name val="Arimo"/>
    </font>
    <font>
      <b/>
      <i/>
      <sz val="8"/>
      <color indexed="81"/>
      <name val="Tahoma"/>
      <family val="2"/>
      <charset val="162"/>
    </font>
    <font>
      <b/>
      <i/>
      <sz val="16"/>
      <color theme="1"/>
      <name val="Calibri"/>
      <family val="2"/>
      <charset val="162"/>
      <scheme val="minor"/>
    </font>
    <font>
      <b/>
      <i/>
      <sz val="10"/>
      <color indexed="18"/>
      <name val="Arial Tur"/>
      <family val="2"/>
      <charset val="162"/>
    </font>
    <font>
      <b/>
      <i/>
      <sz val="10"/>
      <color indexed="10"/>
      <name val="Arial Tur"/>
      <charset val="162"/>
    </font>
    <font>
      <b/>
      <i/>
      <sz val="10"/>
      <color rgb="FFFF0000"/>
      <name val="Arial Tur"/>
      <charset val="162"/>
    </font>
    <font>
      <b/>
      <sz val="10"/>
      <color rgb="FF7030A0"/>
      <name val="Arial Tur"/>
      <family val="2"/>
      <charset val="162"/>
    </font>
    <font>
      <b/>
      <i/>
      <sz val="9"/>
      <color indexed="18"/>
      <name val="Arial Tur"/>
      <charset val="162"/>
    </font>
    <font>
      <b/>
      <i/>
      <sz val="10"/>
      <color indexed="18"/>
      <name val="Arial Tur"/>
      <charset val="162"/>
    </font>
    <font>
      <b/>
      <i/>
      <sz val="14"/>
      <color indexed="18"/>
      <name val="Arial Tur"/>
      <family val="2"/>
      <charset val="162"/>
    </font>
    <font>
      <b/>
      <sz val="12"/>
      <color indexed="18"/>
      <name val="Arial Tur"/>
      <family val="2"/>
      <charset val="162"/>
    </font>
    <font>
      <b/>
      <i/>
      <sz val="14"/>
      <color indexed="18"/>
      <name val="Calibri"/>
      <family val="2"/>
      <charset val="162"/>
      <scheme val="minor"/>
    </font>
    <font>
      <b/>
      <i/>
      <sz val="14"/>
      <color indexed="10"/>
      <name val="Calibri"/>
      <family val="2"/>
      <charset val="162"/>
      <scheme val="minor"/>
    </font>
    <font>
      <b/>
      <sz val="12"/>
      <color indexed="10"/>
      <name val="Arial Tur"/>
      <family val="2"/>
      <charset val="162"/>
    </font>
    <font>
      <sz val="8"/>
      <color indexed="18"/>
      <name val="Arial Tur"/>
      <family val="2"/>
      <charset val="162"/>
    </font>
    <font>
      <b/>
      <sz val="10"/>
      <color indexed="8"/>
      <name val="Arial Tur"/>
      <family val="2"/>
      <charset val="162"/>
    </font>
    <font>
      <b/>
      <i/>
      <sz val="11"/>
      <color rgb="FFFF0000"/>
      <name val="Calibri"/>
      <family val="2"/>
      <charset val="162"/>
      <scheme val="minor"/>
    </font>
    <font>
      <i/>
      <sz val="11"/>
      <color rgb="FFFF0000"/>
      <name val="Calibri"/>
      <family val="2"/>
      <charset val="162"/>
      <scheme val="minor"/>
    </font>
    <font>
      <b/>
      <sz val="9"/>
      <color rgb="FFFF0000"/>
      <name val="Calibri"/>
      <family val="2"/>
      <charset val="162"/>
      <scheme val="minor"/>
    </font>
    <font>
      <b/>
      <sz val="10"/>
      <color theme="3"/>
      <name val="Arial Tur"/>
      <family val="2"/>
      <charset val="162"/>
    </font>
    <font>
      <b/>
      <sz val="10"/>
      <color rgb="FFFF0000"/>
      <name val="Arial Turk"/>
      <charset val="162"/>
    </font>
    <font>
      <sz val="12"/>
      <name val="Calibri"/>
      <family val="2"/>
      <charset val="162"/>
      <scheme val="minor"/>
    </font>
    <font>
      <sz val="9"/>
      <color indexed="81"/>
      <name val="Tahoma"/>
      <charset val="1"/>
    </font>
    <font>
      <b/>
      <sz val="9"/>
      <color indexed="81"/>
      <name val="Tahoma"/>
      <charset val="1"/>
    </font>
    <font>
      <b/>
      <sz val="11"/>
      <name val="Arial Tur"/>
      <charset val="162"/>
    </font>
    <font>
      <b/>
      <i/>
      <sz val="11"/>
      <name val="Arial Tur"/>
      <charset val="162"/>
    </font>
    <font>
      <b/>
      <sz val="9"/>
      <name val="Calibri"/>
      <family val="2"/>
      <charset val="162"/>
      <scheme val="minor"/>
    </font>
    <font>
      <sz val="10"/>
      <name val="Calibri"/>
      <family val="2"/>
      <charset val="162"/>
      <scheme val="minor"/>
    </font>
    <font>
      <sz val="16"/>
      <color theme="0"/>
      <name val="Calibri"/>
      <family val="2"/>
      <charset val="162"/>
      <scheme val="minor"/>
    </font>
    <font>
      <b/>
      <i/>
      <sz val="14"/>
      <color theme="0"/>
      <name val="Calibri"/>
      <family val="2"/>
      <charset val="162"/>
      <scheme val="minor"/>
    </font>
  </fonts>
  <fills count="40">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59996337778862885"/>
        <bgColor indexed="64"/>
      </patternFill>
    </fill>
    <fill>
      <patternFill patternType="solid">
        <fgColor theme="4" tint="-0.24994659260841701"/>
        <bgColor indexed="64"/>
      </patternFill>
    </fill>
    <fill>
      <patternFill patternType="solid">
        <fgColor theme="3"/>
        <bgColor indexed="64"/>
      </patternFill>
    </fill>
    <fill>
      <patternFill patternType="solid">
        <fgColor theme="9"/>
        <bgColor indexed="64"/>
      </patternFill>
    </fill>
    <fill>
      <patternFill patternType="solid">
        <fgColor theme="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bgColor rgb="FFCCCCFF"/>
      </patternFill>
    </fill>
    <fill>
      <patternFill patternType="solid">
        <fgColor theme="3" tint="0.39997558519241921"/>
        <bgColor rgb="FFCCCCFF"/>
      </patternFill>
    </fill>
    <fill>
      <patternFill patternType="solid">
        <fgColor rgb="FFFFC000"/>
        <bgColor rgb="FFCCFFCC"/>
      </patternFill>
    </fill>
    <fill>
      <patternFill patternType="solid">
        <fgColor theme="5"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7030A0"/>
        <bgColor indexed="64"/>
      </patternFill>
    </fill>
    <fill>
      <patternFill patternType="solid">
        <fgColor theme="3" tint="0.59996337778862885"/>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theme="8" tint="0.79998168889431442"/>
        <bgColor indexed="64"/>
      </patternFill>
    </fill>
    <fill>
      <patternFill patternType="solid">
        <fgColor indexed="31"/>
        <bgColor indexed="64"/>
      </patternFill>
    </fill>
    <fill>
      <patternFill patternType="solid">
        <fgColor theme="9" tint="0.79998168889431442"/>
        <bgColor rgb="FFFFCC99"/>
      </patternFill>
    </fill>
    <fill>
      <patternFill patternType="solid">
        <fgColor rgb="FF0070C0"/>
        <bgColor indexed="64"/>
      </patternFill>
    </fill>
    <fill>
      <patternFill patternType="solid">
        <fgColor theme="3" tint="0.79998168889431442"/>
        <bgColor rgb="FFFFFFCC"/>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735">
    <xf numFmtId="0" fontId="0" fillId="0" borderId="0" xfId="0"/>
    <xf numFmtId="0" fontId="0" fillId="0" borderId="0" xfId="0" applyProtection="1">
      <protection locked="0"/>
    </xf>
    <xf numFmtId="0" fontId="16" fillId="5" borderId="0" xfId="0" applyFont="1" applyFill="1" applyProtection="1">
      <protection locked="0"/>
    </xf>
    <xf numFmtId="0" fontId="0" fillId="0" borderId="0" xfId="0" applyProtection="1">
      <protection hidden="1"/>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Alignment="1">
      <alignment horizontal="center"/>
    </xf>
    <xf numFmtId="164" fontId="0" fillId="0" borderId="9" xfId="0" applyNumberFormat="1" applyBorder="1" applyAlignment="1">
      <alignment horizontal="center"/>
    </xf>
    <xf numFmtId="164" fontId="0" fillId="0" borderId="1" xfId="0" applyNumberFormat="1" applyBorder="1"/>
    <xf numFmtId="0" fontId="0" fillId="0" borderId="1" xfId="0" applyBorder="1"/>
    <xf numFmtId="0" fontId="0" fillId="4" borderId="0" xfId="0" applyFill="1"/>
    <xf numFmtId="0" fontId="0" fillId="4" borderId="0" xfId="0" applyFill="1" applyProtection="1">
      <protection locked="0"/>
    </xf>
    <xf numFmtId="165" fontId="4" fillId="2" borderId="1" xfId="0" applyNumberFormat="1" applyFont="1" applyFill="1" applyBorder="1" applyAlignment="1" applyProtection="1">
      <alignment horizontal="center"/>
      <protection hidden="1"/>
    </xf>
    <xf numFmtId="2" fontId="4" fillId="2" borderId="1" xfId="0" applyNumberFormat="1" applyFont="1" applyFill="1" applyBorder="1" applyAlignment="1" applyProtection="1">
      <alignment horizontal="center"/>
      <protection hidden="1"/>
    </xf>
    <xf numFmtId="1" fontId="4" fillId="2" borderId="1" xfId="0" applyNumberFormat="1" applyFont="1" applyFill="1" applyBorder="1" applyAlignment="1" applyProtection="1">
      <alignment horizontal="center" vertical="center"/>
      <protection hidden="1"/>
    </xf>
    <xf numFmtId="165" fontId="4" fillId="2" borderId="1" xfId="0" applyNumberFormat="1" applyFont="1" applyFill="1" applyBorder="1" applyAlignment="1" applyProtection="1">
      <alignment horizontal="center" vertical="center"/>
      <protection hidden="1"/>
    </xf>
    <xf numFmtId="0" fontId="0" fillId="0" borderId="29" xfId="0" applyBorder="1" applyProtection="1">
      <protection hidden="1"/>
    </xf>
    <xf numFmtId="0" fontId="9" fillId="0" borderId="29" xfId="0" applyFont="1" applyBorder="1" applyProtection="1">
      <protection hidden="1"/>
    </xf>
    <xf numFmtId="0" fontId="9" fillId="0" borderId="0" xfId="0" applyFont="1" applyProtection="1">
      <protection hidden="1"/>
    </xf>
    <xf numFmtId="0" fontId="0" fillId="4" borderId="0" xfId="0" applyFill="1" applyProtection="1">
      <protection hidden="1"/>
    </xf>
    <xf numFmtId="0" fontId="9" fillId="4" borderId="0" xfId="0" applyFont="1" applyFill="1" applyProtection="1">
      <protection hidden="1"/>
    </xf>
    <xf numFmtId="0" fontId="7" fillId="0" borderId="0" xfId="0" applyFont="1" applyProtection="1">
      <protection hidden="1"/>
    </xf>
    <xf numFmtId="0" fontId="0" fillId="0" borderId="0" xfId="0" applyAlignment="1" applyProtection="1">
      <alignment horizontal="center"/>
      <protection hidden="1"/>
    </xf>
    <xf numFmtId="0" fontId="14" fillId="0" borderId="0" xfId="0" applyFont="1" applyAlignment="1" applyProtection="1">
      <alignment vertical="center"/>
      <protection hidden="1"/>
    </xf>
    <xf numFmtId="0" fontId="1" fillId="3" borderId="4" xfId="0" applyFont="1" applyFill="1" applyBorder="1" applyProtection="1">
      <protection hidden="1"/>
    </xf>
    <xf numFmtId="0" fontId="1" fillId="3" borderId="5" xfId="0" applyFont="1" applyFill="1" applyBorder="1" applyProtection="1">
      <protection hidden="1"/>
    </xf>
    <xf numFmtId="0" fontId="1" fillId="3" borderId="6" xfId="0" applyFont="1" applyFill="1" applyBorder="1" applyProtection="1">
      <protection hidden="1"/>
    </xf>
    <xf numFmtId="0" fontId="2" fillId="0" borderId="1" xfId="0" applyFont="1" applyBorder="1" applyAlignment="1" applyProtection="1">
      <alignment horizontal="center"/>
      <protection hidden="1"/>
    </xf>
    <xf numFmtId="0" fontId="2" fillId="0" borderId="2" xfId="0" applyFont="1" applyBorder="1" applyProtection="1">
      <protection hidden="1"/>
    </xf>
    <xf numFmtId="0" fontId="3" fillId="0" borderId="2" xfId="0" applyFont="1" applyBorder="1" applyAlignment="1" applyProtection="1">
      <alignment horizontal="center"/>
      <protection hidden="1"/>
    </xf>
    <xf numFmtId="0" fontId="2" fillId="0" borderId="1" xfId="0" applyFont="1" applyBorder="1" applyProtection="1">
      <protection hidden="1"/>
    </xf>
    <xf numFmtId="0" fontId="3" fillId="0" borderId="1" xfId="0" applyFont="1" applyBorder="1" applyAlignment="1" applyProtection="1">
      <alignment horizontal="center"/>
      <protection hidden="1"/>
    </xf>
    <xf numFmtId="0" fontId="10" fillId="0" borderId="0" xfId="0" applyFont="1"/>
    <xf numFmtId="0" fontId="23" fillId="0" borderId="1" xfId="0" applyFont="1" applyBorder="1" applyProtection="1">
      <protection hidden="1"/>
    </xf>
    <xf numFmtId="0" fontId="1" fillId="0" borderId="1" xfId="0" applyFont="1" applyBorder="1" applyAlignment="1" applyProtection="1">
      <alignment horizontal="center"/>
      <protection hidden="1"/>
    </xf>
    <xf numFmtId="0" fontId="0" fillId="0" borderId="1" xfId="0" applyBorder="1" applyProtection="1">
      <protection hidden="1"/>
    </xf>
    <xf numFmtId="1" fontId="24" fillId="2" borderId="1" xfId="0" applyNumberFormat="1" applyFont="1" applyFill="1" applyBorder="1" applyAlignment="1" applyProtection="1">
      <alignment horizontal="center"/>
      <protection hidden="1"/>
    </xf>
    <xf numFmtId="2" fontId="24" fillId="2" borderId="1" xfId="0" applyNumberFormat="1" applyFont="1" applyFill="1" applyBorder="1" applyAlignment="1" applyProtection="1">
      <alignment horizontal="center"/>
      <protection hidden="1"/>
    </xf>
    <xf numFmtId="0" fontId="23" fillId="0" borderId="1" xfId="0" applyFont="1" applyBorder="1" applyAlignment="1" applyProtection="1">
      <alignment horizontal="center"/>
      <protection hidden="1"/>
    </xf>
    <xf numFmtId="2" fontId="0" fillId="0" borderId="0" xfId="0" applyNumberFormat="1"/>
    <xf numFmtId="0" fontId="0" fillId="0" borderId="0" xfId="0" applyAlignment="1" applyProtection="1">
      <alignment horizontal="right"/>
      <protection locked="0"/>
    </xf>
    <xf numFmtId="0" fontId="30" fillId="0" borderId="1" xfId="0" applyFont="1" applyBorder="1" applyAlignment="1" applyProtection="1">
      <alignment horizontal="center"/>
      <protection hidden="1"/>
    </xf>
    <xf numFmtId="165" fontId="0" fillId="0" borderId="0" xfId="0" applyNumberFormat="1"/>
    <xf numFmtId="165" fontId="0" fillId="0" borderId="0" xfId="0" applyNumberFormat="1" applyAlignment="1">
      <alignment horizontal="right"/>
    </xf>
    <xf numFmtId="165" fontId="0" fillId="0" borderId="0" xfId="0" applyNumberFormat="1" applyAlignment="1">
      <alignment horizontal="center"/>
    </xf>
    <xf numFmtId="1" fontId="0" fillId="0" borderId="0" xfId="0" applyNumberFormat="1"/>
    <xf numFmtId="1" fontId="0" fillId="0" borderId="0" xfId="0" applyNumberFormat="1" applyProtection="1">
      <protection hidden="1"/>
    </xf>
    <xf numFmtId="2" fontId="0" fillId="0" borderId="0" xfId="0" applyNumberFormat="1" applyProtection="1">
      <protection hidden="1"/>
    </xf>
    <xf numFmtId="0" fontId="10" fillId="0" borderId="0" xfId="0" applyFont="1" applyAlignment="1" applyProtection="1">
      <alignment horizontal="center"/>
      <protection hidden="1"/>
    </xf>
    <xf numFmtId="0" fontId="0" fillId="0" borderId="11" xfId="0" applyBorder="1" applyProtection="1">
      <protection hidden="1"/>
    </xf>
    <xf numFmtId="0" fontId="16" fillId="0" borderId="0" xfId="0" applyFont="1" applyProtection="1">
      <protection locked="0"/>
    </xf>
    <xf numFmtId="0" fontId="27" fillId="4" borderId="0" xfId="0" applyFont="1" applyFill="1" applyAlignment="1">
      <alignment horizontal="center"/>
    </xf>
    <xf numFmtId="0" fontId="0" fillId="4" borderId="0" xfId="0" applyFill="1" applyAlignment="1" applyProtection="1">
      <alignment horizontal="center"/>
      <protection hidden="1"/>
    </xf>
    <xf numFmtId="0" fontId="23" fillId="0" borderId="0" xfId="0" applyFont="1" applyAlignment="1" applyProtection="1">
      <alignment horizontal="left"/>
      <protection locked="0"/>
    </xf>
    <xf numFmtId="0" fontId="1" fillId="0" borderId="0" xfId="0" applyFont="1" applyAlignment="1" applyProtection="1">
      <alignment horizontal="center"/>
      <protection locked="0"/>
    </xf>
    <xf numFmtId="0" fontId="23" fillId="0" borderId="31" xfId="0" applyFont="1" applyBorder="1" applyAlignment="1" applyProtection="1">
      <alignment horizontal="left"/>
      <protection locked="0"/>
    </xf>
    <xf numFmtId="0" fontId="1" fillId="0" borderId="10" xfId="0" applyFont="1" applyBorder="1" applyProtection="1">
      <protection hidden="1"/>
    </xf>
    <xf numFmtId="0" fontId="23" fillId="0" borderId="1" xfId="0" applyFont="1" applyBorder="1" applyAlignment="1" applyProtection="1">
      <alignment horizontal="left"/>
      <protection hidden="1"/>
    </xf>
    <xf numFmtId="0" fontId="32" fillId="0" borderId="0" xfId="0" applyFont="1"/>
    <xf numFmtId="0" fontId="0" fillId="0" borderId="0" xfId="0" applyAlignment="1" applyProtection="1">
      <alignment horizontal="right"/>
      <protection hidden="1"/>
    </xf>
    <xf numFmtId="0" fontId="16" fillId="0" borderId="0" xfId="0" applyFont="1" applyProtection="1">
      <protection hidden="1"/>
    </xf>
    <xf numFmtId="0" fontId="1" fillId="0" borderId="0" xfId="0" applyFont="1" applyAlignment="1" applyProtection="1">
      <alignment horizontal="center"/>
      <protection hidden="1"/>
    </xf>
    <xf numFmtId="2" fontId="0" fillId="0" borderId="0" xfId="0" applyNumberFormat="1" applyAlignment="1" applyProtection="1">
      <alignment horizontal="center"/>
      <protection hidden="1"/>
    </xf>
    <xf numFmtId="166" fontId="16" fillId="0" borderId="0" xfId="0" applyNumberFormat="1" applyFont="1" applyProtection="1">
      <protection hidden="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protection hidden="1"/>
    </xf>
    <xf numFmtId="0" fontId="1" fillId="0" borderId="0" xfId="0" applyFont="1" applyProtection="1">
      <protection hidden="1"/>
    </xf>
    <xf numFmtId="0" fontId="1" fillId="0" borderId="0" xfId="0" applyFont="1" applyAlignment="1" applyProtection="1">
      <alignment vertical="center"/>
      <protection locked="0"/>
    </xf>
    <xf numFmtId="0" fontId="0" fillId="0" borderId="0" xfId="0" applyAlignment="1" applyProtection="1">
      <alignment horizontal="left"/>
      <protection hidden="1"/>
    </xf>
    <xf numFmtId="0" fontId="0" fillId="7" borderId="27" xfId="0" applyFill="1" applyBorder="1" applyAlignment="1" applyProtection="1">
      <alignment horizontal="center"/>
      <protection hidden="1"/>
    </xf>
    <xf numFmtId="0" fontId="1" fillId="0" borderId="0" xfId="0" applyFont="1"/>
    <xf numFmtId="166" fontId="0" fillId="3" borderId="0" xfId="0" applyNumberFormat="1" applyFill="1" applyAlignment="1" applyProtection="1">
      <alignment horizontal="center"/>
      <protection hidden="1"/>
    </xf>
    <xf numFmtId="0" fontId="0" fillId="7" borderId="0" xfId="0" applyFill="1"/>
    <xf numFmtId="0" fontId="1" fillId="0" borderId="0" xfId="0" applyFont="1" applyAlignment="1" applyProtection="1">
      <alignment horizontal="left"/>
      <protection locked="0"/>
    </xf>
    <xf numFmtId="165" fontId="0" fillId="0" borderId="0" xfId="0" applyNumberFormat="1" applyAlignment="1" applyProtection="1">
      <alignment horizontal="center"/>
      <protection hidden="1"/>
    </xf>
    <xf numFmtId="171" fontId="0" fillId="0" borderId="0" xfId="0" applyNumberFormat="1" applyAlignment="1">
      <alignment horizontal="center"/>
    </xf>
    <xf numFmtId="165" fontId="0" fillId="0" borderId="0" xfId="0" applyNumberForma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0" borderId="0" xfId="0" applyFont="1" applyAlignment="1">
      <alignment horizontal="center" vertical="center" wrapText="1"/>
    </xf>
    <xf numFmtId="166" fontId="0" fillId="0" borderId="0" xfId="0" applyNumberFormat="1" applyAlignment="1" applyProtection="1">
      <alignment horizontal="center"/>
      <protection locked="0"/>
    </xf>
    <xf numFmtId="166" fontId="0" fillId="0" borderId="0" xfId="0" applyNumberFormat="1" applyAlignment="1" applyProtection="1">
      <alignment horizontal="center"/>
      <protection hidden="1"/>
    </xf>
    <xf numFmtId="0" fontId="0" fillId="6" borderId="2" xfId="0" applyFill="1" applyBorder="1" applyAlignment="1" applyProtection="1">
      <alignment horizontal="center"/>
      <protection hidden="1"/>
    </xf>
    <xf numFmtId="165" fontId="0" fillId="6" borderId="2" xfId="0" applyNumberFormat="1" applyFill="1" applyBorder="1" applyAlignment="1" applyProtection="1">
      <alignment horizontal="center"/>
      <protection hidden="1"/>
    </xf>
    <xf numFmtId="0" fontId="0" fillId="6" borderId="1" xfId="0" applyFill="1" applyBorder="1" applyAlignment="1" applyProtection="1">
      <alignment horizontal="center"/>
      <protection hidden="1"/>
    </xf>
    <xf numFmtId="165" fontId="0" fillId="6" borderId="1" xfId="0" applyNumberFormat="1" applyFill="1" applyBorder="1" applyAlignment="1" applyProtection="1">
      <alignment horizontal="center"/>
      <protection hidden="1"/>
    </xf>
    <xf numFmtId="0" fontId="13" fillId="0" borderId="0" xfId="0" applyFont="1" applyProtection="1">
      <protection locked="0"/>
    </xf>
    <xf numFmtId="0" fontId="13" fillId="0" borderId="0" xfId="0" applyFont="1" applyAlignment="1" applyProtection="1">
      <alignment horizontal="center"/>
      <protection locked="0"/>
    </xf>
    <xf numFmtId="0" fontId="13" fillId="0" borderId="0" xfId="0" applyFont="1" applyProtection="1">
      <protection hidden="1"/>
    </xf>
    <xf numFmtId="0" fontId="13" fillId="0" borderId="0" xfId="0" applyFont="1" applyAlignment="1" applyProtection="1">
      <alignment horizontal="center"/>
      <protection hidden="1"/>
    </xf>
    <xf numFmtId="0" fontId="4" fillId="9" borderId="1" xfId="0" applyFont="1" applyFill="1" applyBorder="1" applyAlignment="1" applyProtection="1">
      <alignment horizontal="center"/>
      <protection locked="0" hidden="1"/>
    </xf>
    <xf numFmtId="0" fontId="0" fillId="10" borderId="0" xfId="0" applyFill="1" applyAlignment="1" applyProtection="1">
      <alignment shrinkToFit="1"/>
      <protection hidden="1"/>
    </xf>
    <xf numFmtId="0" fontId="36" fillId="0" borderId="0" xfId="0" applyFont="1" applyProtection="1">
      <protection hidden="1"/>
    </xf>
    <xf numFmtId="0" fontId="37" fillId="0" borderId="0" xfId="0" applyFont="1" applyProtection="1">
      <protection hidden="1"/>
    </xf>
    <xf numFmtId="0" fontId="38" fillId="0" borderId="0" xfId="0" applyFont="1" applyProtection="1">
      <protection hidden="1"/>
    </xf>
    <xf numFmtId="0" fontId="39" fillId="0" borderId="0" xfId="0" applyFont="1" applyProtection="1">
      <protection hidden="1"/>
    </xf>
    <xf numFmtId="0" fontId="2" fillId="0" borderId="0" xfId="0" applyFont="1" applyProtection="1">
      <protection hidden="1"/>
    </xf>
    <xf numFmtId="0" fontId="3" fillId="0" borderId="0" xfId="0" applyFont="1" applyAlignment="1" applyProtection="1">
      <alignment horizontal="center"/>
      <protection hidden="1"/>
    </xf>
    <xf numFmtId="4" fontId="4" fillId="0" borderId="0" xfId="0" applyNumberFormat="1" applyFont="1" applyAlignment="1" applyProtection="1">
      <alignment horizontal="center"/>
      <protection hidden="1"/>
    </xf>
    <xf numFmtId="2" fontId="4" fillId="0" borderId="0" xfId="0" applyNumberFormat="1" applyFont="1" applyAlignment="1" applyProtection="1">
      <alignment horizontal="center"/>
      <protection hidden="1"/>
    </xf>
    <xf numFmtId="2" fontId="13" fillId="0" borderId="0" xfId="0" applyNumberFormat="1" applyFont="1" applyAlignment="1" applyProtection="1">
      <alignment horizontal="center"/>
      <protection hidden="1"/>
    </xf>
    <xf numFmtId="0" fontId="1"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0" fillId="0" borderId="1" xfId="0" applyBorder="1" applyAlignment="1" applyProtection="1">
      <alignment horizontal="center" vertical="center" wrapText="1"/>
      <protection hidden="1"/>
    </xf>
    <xf numFmtId="166" fontId="0" fillId="0" borderId="0" xfId="0" applyNumberFormat="1" applyAlignment="1" applyProtection="1">
      <alignment horizontal="left"/>
      <protection hidden="1"/>
    </xf>
    <xf numFmtId="0" fontId="0" fillId="0" borderId="0" xfId="0" applyAlignment="1">
      <alignment vertical="top" wrapText="1"/>
    </xf>
    <xf numFmtId="0" fontId="42" fillId="0" borderId="0" xfId="0" applyFont="1"/>
    <xf numFmtId="0" fontId="41" fillId="0" borderId="0" xfId="0" applyFont="1"/>
    <xf numFmtId="0" fontId="0" fillId="0" borderId="55" xfId="0" applyBorder="1" applyAlignment="1" applyProtection="1">
      <alignment horizontal="center" vertical="center" wrapText="1"/>
      <protection hidden="1"/>
    </xf>
    <xf numFmtId="0" fontId="3" fillId="0" borderId="0" xfId="0" applyFont="1" applyProtection="1">
      <protection hidden="1"/>
    </xf>
    <xf numFmtId="0" fontId="0" fillId="0" borderId="11" xfId="0" applyBorder="1"/>
    <xf numFmtId="0" fontId="13" fillId="0" borderId="30" xfId="0" applyFont="1" applyBorder="1" applyProtection="1">
      <protection hidden="1"/>
    </xf>
    <xf numFmtId="0" fontId="13" fillId="0" borderId="31" xfId="0" applyFont="1" applyBorder="1" applyProtection="1">
      <protection locked="0"/>
    </xf>
    <xf numFmtId="0" fontId="13" fillId="0" borderId="31" xfId="0" applyFont="1" applyBorder="1" applyAlignment="1" applyProtection="1">
      <alignment horizontal="center"/>
      <protection locked="0"/>
    </xf>
    <xf numFmtId="0" fontId="38" fillId="0" borderId="29" xfId="0" applyFont="1" applyBorder="1" applyProtection="1">
      <protection hidden="1"/>
    </xf>
    <xf numFmtId="2" fontId="13" fillId="0" borderId="0" xfId="0" applyNumberFormat="1" applyFont="1" applyProtection="1">
      <protection locked="0"/>
    </xf>
    <xf numFmtId="2" fontId="13" fillId="0" borderId="0" xfId="0" applyNumberFormat="1" applyFont="1" applyAlignment="1" applyProtection="1">
      <alignment horizontal="center"/>
      <protection locked="0"/>
    </xf>
    <xf numFmtId="0" fontId="39" fillId="0" borderId="29" xfId="0" applyFont="1" applyBorder="1" applyProtection="1">
      <protection hidden="1"/>
    </xf>
    <xf numFmtId="0" fontId="39" fillId="0" borderId="33" xfId="0" applyFont="1" applyBorder="1" applyProtection="1">
      <protection hidden="1"/>
    </xf>
    <xf numFmtId="2" fontId="13" fillId="0" borderId="35" xfId="0" applyNumberFormat="1" applyFont="1" applyBorder="1" applyProtection="1">
      <protection locked="0"/>
    </xf>
    <xf numFmtId="2" fontId="13" fillId="0" borderId="35" xfId="0" applyNumberFormat="1" applyFont="1" applyBorder="1" applyAlignment="1" applyProtection="1">
      <alignment horizontal="center"/>
      <protection locked="0"/>
    </xf>
    <xf numFmtId="0" fontId="38" fillId="0" borderId="30" xfId="0" applyFont="1" applyBorder="1" applyProtection="1">
      <protection hidden="1"/>
    </xf>
    <xf numFmtId="2" fontId="13" fillId="0" borderId="31" xfId="0" applyNumberFormat="1" applyFont="1" applyBorder="1" applyProtection="1">
      <protection locked="0"/>
    </xf>
    <xf numFmtId="2" fontId="13" fillId="0" borderId="31" xfId="0" applyNumberFormat="1" applyFont="1" applyBorder="1" applyAlignment="1" applyProtection="1">
      <alignment horizontal="center"/>
      <protection locked="0"/>
    </xf>
    <xf numFmtId="2" fontId="0" fillId="0" borderId="31" xfId="0" applyNumberFormat="1" applyBorder="1" applyAlignment="1" applyProtection="1">
      <alignment horizontal="center"/>
      <protection locked="0"/>
    </xf>
    <xf numFmtId="0" fontId="0" fillId="0" borderId="30" xfId="0" applyBorder="1" applyProtection="1">
      <protection locked="0"/>
    </xf>
    <xf numFmtId="2" fontId="0" fillId="0" borderId="31" xfId="0" applyNumberFormat="1" applyBorder="1" applyProtection="1">
      <protection locked="0"/>
    </xf>
    <xf numFmtId="0" fontId="0" fillId="0" borderId="29" xfId="0" applyBorder="1" applyProtection="1">
      <protection locked="0"/>
    </xf>
    <xf numFmtId="2" fontId="0" fillId="0" borderId="0" xfId="0" applyNumberFormat="1" applyProtection="1">
      <protection locked="0"/>
    </xf>
    <xf numFmtId="2" fontId="0" fillId="0" borderId="0" xfId="0" applyNumberFormat="1" applyAlignment="1" applyProtection="1">
      <alignment horizontal="center"/>
      <protection locked="0"/>
    </xf>
    <xf numFmtId="0" fontId="0" fillId="0" borderId="33" xfId="0" applyBorder="1" applyProtection="1">
      <protection locked="0"/>
    </xf>
    <xf numFmtId="2" fontId="0" fillId="0" borderId="35" xfId="0" applyNumberFormat="1" applyBorder="1" applyProtection="1">
      <protection locked="0"/>
    </xf>
    <xf numFmtId="2" fontId="0" fillId="0" borderId="35" xfId="0" applyNumberFormat="1" applyBorder="1" applyAlignment="1" applyProtection="1">
      <alignment horizontal="center"/>
      <protection locked="0"/>
    </xf>
    <xf numFmtId="0" fontId="40" fillId="0" borderId="0" xfId="0" applyFont="1"/>
    <xf numFmtId="0" fontId="9" fillId="0" borderId="0" xfId="0" applyFont="1" applyAlignment="1" applyProtection="1">
      <alignment horizontal="center" vertical="center"/>
      <protection hidden="1"/>
    </xf>
    <xf numFmtId="0" fontId="44" fillId="12" borderId="0" xfId="0" applyFont="1" applyFill="1" applyProtection="1">
      <protection hidden="1"/>
    </xf>
    <xf numFmtId="0" fontId="46" fillId="12" borderId="9" xfId="0" applyFont="1" applyFill="1" applyBorder="1" applyAlignment="1" applyProtection="1">
      <alignment horizontal="center" vertical="center" wrapText="1"/>
      <protection hidden="1"/>
    </xf>
    <xf numFmtId="0" fontId="47" fillId="12" borderId="21" xfId="0" applyFont="1" applyFill="1" applyBorder="1" applyAlignment="1">
      <alignment horizontal="left"/>
    </xf>
    <xf numFmtId="0" fontId="44" fillId="12" borderId="0" xfId="0" applyFont="1" applyFill="1" applyProtection="1">
      <protection locked="0"/>
    </xf>
    <xf numFmtId="0" fontId="44" fillId="12" borderId="1" xfId="0" applyFont="1" applyFill="1" applyBorder="1" applyAlignment="1">
      <alignment horizontal="center"/>
    </xf>
    <xf numFmtId="0" fontId="48" fillId="12" borderId="1" xfId="0" applyFont="1" applyFill="1" applyBorder="1" applyAlignment="1">
      <alignment horizontal="center"/>
    </xf>
    <xf numFmtId="0" fontId="13" fillId="4" borderId="1" xfId="0" applyFont="1" applyFill="1" applyBorder="1" applyAlignment="1">
      <alignment horizontal="center"/>
    </xf>
    <xf numFmtId="0" fontId="1" fillId="6" borderId="0" xfId="0" applyFont="1" applyFill="1" applyAlignment="1" applyProtection="1">
      <alignment horizontal="center"/>
      <protection hidden="1"/>
    </xf>
    <xf numFmtId="2" fontId="1" fillId="6" borderId="0" xfId="0" applyNumberFormat="1" applyFont="1" applyFill="1" applyAlignment="1" applyProtection="1">
      <alignment horizontal="center"/>
      <protection hidden="1"/>
    </xf>
    <xf numFmtId="0" fontId="22" fillId="0" borderId="0" xfId="0" applyFont="1"/>
    <xf numFmtId="0" fontId="22" fillId="0" borderId="0" xfId="0" applyFont="1" applyProtection="1">
      <protection hidden="1"/>
    </xf>
    <xf numFmtId="0" fontId="33" fillId="0" borderId="0" xfId="0" applyFont="1" applyProtection="1">
      <protection hidden="1"/>
    </xf>
    <xf numFmtId="0" fontId="0" fillId="0" borderId="0" xfId="0" applyAlignment="1" applyProtection="1">
      <alignment horizontal="center"/>
      <protection locked="0" hidden="1"/>
    </xf>
    <xf numFmtId="0" fontId="44" fillId="0" borderId="0" xfId="0" applyFont="1" applyAlignment="1" applyProtection="1">
      <alignment vertical="center" wrapText="1"/>
      <protection locked="0" hidden="1"/>
    </xf>
    <xf numFmtId="0" fontId="44" fillId="0" borderId="0" xfId="0" applyFont="1" applyAlignment="1" applyProtection="1">
      <alignment vertical="center" wrapText="1"/>
      <protection locked="0"/>
    </xf>
    <xf numFmtId="165" fontId="0" fillId="0" borderId="0" xfId="0" applyNumberFormat="1" applyProtection="1">
      <protection locked="0" hidden="1"/>
    </xf>
    <xf numFmtId="0" fontId="0" fillId="0" borderId="0" xfId="0" applyProtection="1">
      <protection locked="0" hidden="1"/>
    </xf>
    <xf numFmtId="0" fontId="0" fillId="0" borderId="0" xfId="0" applyAlignment="1" applyProtection="1">
      <alignment vertical="center"/>
      <protection locked="0"/>
    </xf>
    <xf numFmtId="0" fontId="13" fillId="4" borderId="1" xfId="0" applyFont="1" applyFill="1" applyBorder="1" applyAlignment="1" applyProtection="1">
      <alignment horizontal="center"/>
      <protection hidden="1"/>
    </xf>
    <xf numFmtId="0" fontId="43" fillId="4" borderId="0" xfId="0" applyFont="1" applyFill="1" applyAlignment="1" applyProtection="1">
      <alignment vertical="center" wrapText="1"/>
      <protection hidden="1"/>
    </xf>
    <xf numFmtId="1" fontId="4" fillId="0" borderId="0" xfId="0" applyNumberFormat="1" applyFont="1" applyProtection="1">
      <protection hidden="1"/>
    </xf>
    <xf numFmtId="166" fontId="0" fillId="0" borderId="1" xfId="0" applyNumberFormat="1" applyBorder="1" applyAlignment="1" applyProtection="1">
      <alignment horizontal="center"/>
      <protection hidden="1"/>
    </xf>
    <xf numFmtId="0" fontId="44" fillId="0" borderId="0" xfId="0" applyFont="1" applyAlignment="1" applyProtection="1">
      <alignment horizontal="center" vertical="center" wrapText="1"/>
      <protection hidden="1"/>
    </xf>
    <xf numFmtId="0" fontId="0" fillId="4" borderId="2" xfId="0" applyFill="1" applyBorder="1" applyAlignment="1" applyProtection="1">
      <alignment horizontal="center"/>
      <protection hidden="1"/>
    </xf>
    <xf numFmtId="165" fontId="0" fillId="4" borderId="2" xfId="0" applyNumberFormat="1" applyFill="1" applyBorder="1" applyAlignment="1" applyProtection="1">
      <alignment horizontal="center"/>
      <protection hidden="1"/>
    </xf>
    <xf numFmtId="166" fontId="0" fillId="4" borderId="2" xfId="0" applyNumberFormat="1" applyFill="1" applyBorder="1" applyAlignment="1" applyProtection="1">
      <alignment horizontal="center"/>
      <protection hidden="1"/>
    </xf>
    <xf numFmtId="2" fontId="0" fillId="4" borderId="2" xfId="0" applyNumberFormat="1" applyFill="1" applyBorder="1" applyAlignment="1" applyProtection="1">
      <alignment horizontal="center"/>
      <protection hidden="1"/>
    </xf>
    <xf numFmtId="0" fontId="0" fillId="4" borderId="1" xfId="0" applyFill="1" applyBorder="1" applyAlignment="1" applyProtection="1">
      <alignment horizontal="center"/>
      <protection hidden="1"/>
    </xf>
    <xf numFmtId="0" fontId="16" fillId="12" borderId="9" xfId="0" applyFont="1" applyFill="1" applyBorder="1" applyAlignment="1" applyProtection="1">
      <alignment horizontal="center"/>
      <protection hidden="1"/>
    </xf>
    <xf numFmtId="0" fontId="0" fillId="4" borderId="1" xfId="0" applyFill="1" applyBorder="1" applyAlignment="1">
      <alignment horizontal="center"/>
    </xf>
    <xf numFmtId="2" fontId="0" fillId="0" borderId="2" xfId="0" applyNumberFormat="1" applyBorder="1" applyAlignment="1" applyProtection="1">
      <alignment horizontal="center"/>
      <protection hidden="1"/>
    </xf>
    <xf numFmtId="165" fontId="0" fillId="0" borderId="1" xfId="0" applyNumberFormat="1" applyBorder="1" applyAlignment="1" applyProtection="1">
      <alignment horizontal="center"/>
      <protection hidden="1"/>
    </xf>
    <xf numFmtId="2" fontId="0" fillId="0" borderId="1" xfId="0" applyNumberFormat="1" applyBorder="1" applyAlignment="1" applyProtection="1">
      <alignment horizontal="center"/>
      <protection hidden="1"/>
    </xf>
    <xf numFmtId="0" fontId="0" fillId="0" borderId="13"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68" xfId="0"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165" fontId="0" fillId="0" borderId="1" xfId="0" applyNumberFormat="1" applyBorder="1" applyAlignment="1" applyProtection="1">
      <alignment horizontal="center" vertical="center" wrapText="1"/>
      <protection hidden="1"/>
    </xf>
    <xf numFmtId="0" fontId="9" fillId="0" borderId="2" xfId="0" applyFont="1" applyBorder="1" applyAlignment="1" applyProtection="1">
      <alignment horizontal="center" vertical="center"/>
      <protection hidden="1"/>
    </xf>
    <xf numFmtId="0" fontId="27"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1" fontId="1" fillId="0" borderId="1" xfId="0" applyNumberFormat="1" applyFont="1" applyBorder="1" applyAlignment="1" applyProtection="1">
      <alignment horizontal="center"/>
      <protection hidden="1"/>
    </xf>
    <xf numFmtId="165" fontId="0" fillId="0" borderId="0" xfId="0" applyNumberFormat="1" applyProtection="1">
      <protection hidden="1"/>
    </xf>
    <xf numFmtId="2" fontId="1" fillId="0" borderId="1" xfId="0" applyNumberFormat="1" applyFont="1" applyBorder="1" applyAlignment="1" applyProtection="1">
      <alignment horizontal="center"/>
      <protection hidden="1"/>
    </xf>
    <xf numFmtId="165" fontId="0" fillId="0" borderId="27" xfId="0" applyNumberFormat="1" applyBorder="1" applyAlignment="1" applyProtection="1">
      <alignment horizontal="center" vertical="center" wrapText="1"/>
      <protection hidden="1"/>
    </xf>
    <xf numFmtId="166" fontId="0" fillId="0" borderId="25" xfId="0" applyNumberFormat="1" applyBorder="1" applyAlignment="1" applyProtection="1">
      <alignment horizontal="center"/>
      <protection hidden="1"/>
    </xf>
    <xf numFmtId="166" fontId="0" fillId="0" borderId="0" xfId="0" applyNumberFormat="1" applyProtection="1">
      <protection hidden="1"/>
    </xf>
    <xf numFmtId="169" fontId="0" fillId="0" borderId="0" xfId="0" applyNumberFormat="1" applyProtection="1">
      <protection hidden="1"/>
    </xf>
    <xf numFmtId="4" fontId="0" fillId="0" borderId="0" xfId="0" applyNumberFormat="1" applyAlignment="1" applyProtection="1">
      <alignment horizontal="center" vertical="center"/>
      <protection hidden="1"/>
    </xf>
    <xf numFmtId="0" fontId="0" fillId="0" borderId="25" xfId="0" applyBorder="1" applyAlignment="1" applyProtection="1">
      <alignment horizontal="center"/>
      <protection hidden="1"/>
    </xf>
    <xf numFmtId="0" fontId="1" fillId="0" borderId="25" xfId="0" applyFont="1" applyBorder="1" applyAlignment="1" applyProtection="1">
      <alignment horizontal="center" vertical="center"/>
      <protection hidden="1"/>
    </xf>
    <xf numFmtId="1" fontId="0" fillId="0" borderId="1" xfId="0" applyNumberForma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protection hidden="1"/>
    </xf>
    <xf numFmtId="0" fontId="1" fillId="4" borderId="55" xfId="0" applyFont="1" applyFill="1" applyBorder="1" applyAlignment="1">
      <alignment horizontal="center"/>
    </xf>
    <xf numFmtId="0" fontId="0" fillId="4" borderId="56" xfId="0" applyFill="1" applyBorder="1" applyAlignment="1">
      <alignment horizontal="center" vertical="center"/>
    </xf>
    <xf numFmtId="0" fontId="0" fillId="4" borderId="56" xfId="0" applyFill="1" applyBorder="1" applyAlignment="1">
      <alignment horizontal="center"/>
    </xf>
    <xf numFmtId="166" fontId="0" fillId="4" borderId="0" xfId="0" applyNumberFormat="1" applyFill="1" applyAlignment="1" applyProtection="1">
      <alignment horizontal="center"/>
      <protection hidden="1"/>
    </xf>
    <xf numFmtId="166" fontId="0" fillId="4" borderId="25" xfId="0" applyNumberFormat="1" applyFill="1" applyBorder="1" applyAlignment="1" applyProtection="1">
      <alignment horizontal="center"/>
      <protection hidden="1"/>
    </xf>
    <xf numFmtId="0" fontId="0" fillId="4" borderId="27" xfId="0" applyFill="1" applyBorder="1" applyAlignment="1" applyProtection="1">
      <alignment horizontal="center"/>
      <protection hidden="1"/>
    </xf>
    <xf numFmtId="0" fontId="0" fillId="4" borderId="11" xfId="0" applyFill="1" applyBorder="1" applyProtection="1">
      <protection hidden="1"/>
    </xf>
    <xf numFmtId="0" fontId="0" fillId="4" borderId="17" xfId="0" applyFill="1" applyBorder="1" applyProtection="1">
      <protection hidden="1"/>
    </xf>
    <xf numFmtId="0" fontId="1" fillId="4" borderId="11" xfId="0" applyFont="1" applyFill="1" applyBorder="1" applyAlignment="1" applyProtection="1">
      <alignment horizontal="center"/>
      <protection hidden="1"/>
    </xf>
    <xf numFmtId="0" fontId="0" fillId="4" borderId="18" xfId="0" applyFill="1" applyBorder="1" applyProtection="1">
      <protection hidden="1"/>
    </xf>
    <xf numFmtId="0" fontId="0" fillId="4" borderId="10" xfId="0" applyFill="1" applyBorder="1" applyProtection="1">
      <protection hidden="1"/>
    </xf>
    <xf numFmtId="0" fontId="0" fillId="4" borderId="19" xfId="0" applyFill="1" applyBorder="1" applyProtection="1">
      <protection hidden="1"/>
    </xf>
    <xf numFmtId="0" fontId="0" fillId="0" borderId="20" xfId="0" applyBorder="1" applyProtection="1">
      <protection hidden="1"/>
    </xf>
    <xf numFmtId="0" fontId="0" fillId="0" borderId="17" xfId="0" applyBorder="1" applyProtection="1">
      <protection hidden="1"/>
    </xf>
    <xf numFmtId="0" fontId="0" fillId="0" borderId="19" xfId="0" applyBorder="1" applyProtection="1">
      <protection hidden="1"/>
    </xf>
    <xf numFmtId="0" fontId="0" fillId="0" borderId="18" xfId="0" applyBorder="1" applyProtection="1">
      <protection hidden="1"/>
    </xf>
    <xf numFmtId="0" fontId="0" fillId="0" borderId="10" xfId="0" applyBorder="1" applyProtection="1">
      <protection hidden="1"/>
    </xf>
    <xf numFmtId="0" fontId="10" fillId="13" borderId="9" xfId="0" applyFont="1" applyFill="1" applyBorder="1" applyAlignment="1" applyProtection="1">
      <alignment horizontal="center"/>
      <protection hidden="1"/>
    </xf>
    <xf numFmtId="0" fontId="26" fillId="0" borderId="30" xfId="0" applyFont="1" applyBorder="1" applyProtection="1">
      <protection hidden="1"/>
    </xf>
    <xf numFmtId="0" fontId="26" fillId="0" borderId="45" xfId="0" applyFont="1" applyBorder="1" applyProtection="1">
      <protection hidden="1"/>
    </xf>
    <xf numFmtId="0" fontId="26" fillId="0" borderId="33" xfId="0" applyFont="1" applyBorder="1" applyProtection="1">
      <protection hidden="1"/>
    </xf>
    <xf numFmtId="0" fontId="26" fillId="0" borderId="34" xfId="0" applyFont="1" applyBorder="1" applyProtection="1">
      <protection hidden="1"/>
    </xf>
    <xf numFmtId="0" fontId="0" fillId="0" borderId="56" xfId="0" applyBorder="1" applyAlignment="1" applyProtection="1">
      <alignment horizontal="center" vertical="center"/>
      <protection hidden="1"/>
    </xf>
    <xf numFmtId="0" fontId="0" fillId="0" borderId="45" xfId="0" applyBorder="1" applyProtection="1">
      <protection hidden="1"/>
    </xf>
    <xf numFmtId="0" fontId="26" fillId="0" borderId="57" xfId="0" applyFont="1" applyBorder="1" applyProtection="1">
      <protection hidden="1"/>
    </xf>
    <xf numFmtId="0" fontId="0" fillId="0" borderId="51" xfId="0" applyBorder="1" applyProtection="1">
      <protection hidden="1"/>
    </xf>
    <xf numFmtId="0" fontId="0" fillId="5" borderId="8" xfId="0" applyFill="1" applyBorder="1" applyProtection="1">
      <protection locked="0" hidden="1"/>
    </xf>
    <xf numFmtId="0" fontId="0" fillId="5" borderId="20" xfId="0" applyFill="1" applyBorder="1" applyProtection="1">
      <protection locked="0" hidden="1"/>
    </xf>
    <xf numFmtId="0" fontId="0" fillId="0" borderId="11" xfId="0" applyBorder="1" applyProtection="1">
      <protection locked="0" hidden="1"/>
    </xf>
    <xf numFmtId="0" fontId="0" fillId="5" borderId="11" xfId="0" applyFill="1" applyBorder="1" applyProtection="1">
      <protection locked="0" hidden="1"/>
    </xf>
    <xf numFmtId="0" fontId="0" fillId="5" borderId="0" xfId="0" applyFill="1" applyProtection="1">
      <protection locked="0" hidden="1"/>
    </xf>
    <xf numFmtId="0" fontId="0" fillId="5" borderId="17" xfId="0" applyFill="1" applyBorder="1" applyProtection="1">
      <protection locked="0" hidden="1"/>
    </xf>
    <xf numFmtId="0" fontId="54" fillId="5" borderId="18" xfId="0" applyFont="1" applyFill="1" applyBorder="1" applyProtection="1">
      <protection locked="0" hidden="1"/>
    </xf>
    <xf numFmtId="0" fontId="54" fillId="5" borderId="10" xfId="0" applyFont="1" applyFill="1" applyBorder="1" applyProtection="1">
      <protection locked="0" hidden="1"/>
    </xf>
    <xf numFmtId="0" fontId="54" fillId="0" borderId="0" xfId="0" applyFont="1" applyProtection="1">
      <protection locked="0" hidden="1"/>
    </xf>
    <xf numFmtId="0" fontId="54" fillId="5" borderId="19" xfId="0" applyFont="1" applyFill="1" applyBorder="1" applyProtection="1">
      <protection locked="0" hidden="1"/>
    </xf>
    <xf numFmtId="0" fontId="16" fillId="0" borderId="0" xfId="0" applyFont="1"/>
    <xf numFmtId="0" fontId="13" fillId="0" borderId="31" xfId="0" applyFont="1" applyBorder="1" applyAlignment="1" applyProtection="1">
      <alignment horizontal="center"/>
      <protection hidden="1"/>
    </xf>
    <xf numFmtId="0" fontId="13" fillId="0" borderId="45" xfId="0" applyFont="1" applyBorder="1" applyProtection="1">
      <protection hidden="1"/>
    </xf>
    <xf numFmtId="2" fontId="13" fillId="0" borderId="38" xfId="0" applyNumberFormat="1" applyFont="1" applyBorder="1" applyProtection="1">
      <protection hidden="1"/>
    </xf>
    <xf numFmtId="0" fontId="13" fillId="0" borderId="38" xfId="0" applyFont="1" applyBorder="1" applyProtection="1">
      <protection hidden="1"/>
    </xf>
    <xf numFmtId="0" fontId="13" fillId="0" borderId="35" xfId="0" applyFont="1" applyBorder="1" applyProtection="1">
      <protection hidden="1"/>
    </xf>
    <xf numFmtId="0" fontId="13" fillId="0" borderId="34" xfId="0" applyFont="1" applyBorder="1" applyProtection="1">
      <protection hidden="1"/>
    </xf>
    <xf numFmtId="2" fontId="0" fillId="0" borderId="31" xfId="0" applyNumberFormat="1" applyBorder="1" applyAlignment="1" applyProtection="1">
      <alignment horizontal="center"/>
      <protection hidden="1"/>
    </xf>
    <xf numFmtId="2" fontId="0" fillId="0" borderId="45" xfId="0" applyNumberFormat="1" applyBorder="1" applyProtection="1">
      <protection hidden="1"/>
    </xf>
    <xf numFmtId="0" fontId="0" fillId="0" borderId="38" xfId="0" applyBorder="1" applyProtection="1">
      <protection hidden="1"/>
    </xf>
    <xf numFmtId="0" fontId="0" fillId="0" borderId="34" xfId="0" applyBorder="1" applyProtection="1">
      <protection hidden="1"/>
    </xf>
    <xf numFmtId="0" fontId="1" fillId="0" borderId="0" xfId="0" applyFont="1" applyAlignment="1">
      <alignment horizontal="center"/>
    </xf>
    <xf numFmtId="0" fontId="1" fillId="5" borderId="4" xfId="0" applyFont="1" applyFill="1" applyBorder="1" applyAlignment="1" applyProtection="1">
      <alignment horizontal="center"/>
      <protection hidden="1"/>
    </xf>
    <xf numFmtId="1" fontId="1" fillId="5" borderId="9" xfId="0" applyNumberFormat="1" applyFont="1" applyFill="1" applyBorder="1" applyAlignment="1" applyProtection="1">
      <alignment horizontal="center"/>
      <protection hidden="1"/>
    </xf>
    <xf numFmtId="0" fontId="2" fillId="0" borderId="26" xfId="0" applyFont="1" applyBorder="1" applyAlignment="1" applyProtection="1">
      <alignment horizontal="center"/>
      <protection hidden="1"/>
    </xf>
    <xf numFmtId="166" fontId="0" fillId="4" borderId="1" xfId="0" applyNumberFormat="1" applyFill="1" applyBorder="1" applyAlignment="1" applyProtection="1">
      <alignment horizontal="center"/>
      <protection hidden="1"/>
    </xf>
    <xf numFmtId="0" fontId="31" fillId="0" borderId="0" xfId="0" applyFont="1"/>
    <xf numFmtId="0" fontId="0" fillId="4" borderId="0" xfId="0" applyFill="1" applyAlignment="1">
      <alignment vertical="center" wrapText="1"/>
    </xf>
    <xf numFmtId="166" fontId="0" fillId="4" borderId="3" xfId="0" applyNumberFormat="1" applyFill="1" applyBorder="1" applyAlignment="1" applyProtection="1">
      <alignment horizontal="center"/>
      <protection hidden="1"/>
    </xf>
    <xf numFmtId="0" fontId="9" fillId="4" borderId="0" xfId="0" applyFont="1" applyFill="1" applyAlignment="1" applyProtection="1">
      <alignment vertical="center"/>
      <protection hidden="1"/>
    </xf>
    <xf numFmtId="0" fontId="44" fillId="0" borderId="0" xfId="0" applyFont="1" applyAlignment="1" applyProtection="1">
      <alignment vertical="center" wrapText="1"/>
      <protection hidden="1"/>
    </xf>
    <xf numFmtId="0" fontId="16" fillId="0" borderId="0" xfId="0" applyFont="1" applyAlignment="1">
      <alignment vertical="center" wrapText="1"/>
    </xf>
    <xf numFmtId="0" fontId="0" fillId="4" borderId="0" xfId="0" applyFill="1" applyAlignment="1">
      <alignment horizontal="center" vertical="center"/>
    </xf>
    <xf numFmtId="0" fontId="0" fillId="4" borderId="0" xfId="0" applyFill="1" applyAlignment="1">
      <alignment horizontal="center"/>
    </xf>
    <xf numFmtId="0" fontId="0" fillId="4" borderId="0" xfId="0" applyFill="1" applyAlignment="1" applyProtection="1">
      <alignment horizontal="center" vertical="center"/>
      <protection hidden="1"/>
    </xf>
    <xf numFmtId="0" fontId="0" fillId="4" borderId="0" xfId="0" applyFill="1" applyAlignment="1">
      <alignment vertical="center"/>
    </xf>
    <xf numFmtId="0" fontId="0" fillId="0" borderId="1" xfId="0" applyBorder="1" applyAlignment="1">
      <alignment horizontal="center"/>
    </xf>
    <xf numFmtId="0" fontId="0" fillId="0" borderId="2" xfId="0" applyBorder="1" applyAlignment="1">
      <alignment horizontal="center"/>
    </xf>
    <xf numFmtId="49" fontId="26" fillId="0" borderId="0" xfId="0" applyNumberFormat="1" applyFont="1" applyAlignment="1" applyProtection="1">
      <alignment horizontal="center" vertical="center"/>
      <protection hidden="1"/>
    </xf>
    <xf numFmtId="0" fontId="26" fillId="0" borderId="0" xfId="0" applyFont="1" applyAlignment="1" applyProtection="1">
      <alignment horizontal="center" vertical="center"/>
      <protection hidden="1"/>
    </xf>
    <xf numFmtId="1" fontId="1" fillId="0" borderId="0" xfId="0" applyNumberFormat="1" applyFont="1" applyAlignment="1" applyProtection="1">
      <alignment horizontal="center"/>
      <protection hidden="1"/>
    </xf>
    <xf numFmtId="0" fontId="58" fillId="10" borderId="0" xfId="0" applyFont="1" applyFill="1" applyAlignment="1" applyProtection="1">
      <alignment horizontal="center"/>
      <protection hidden="1"/>
    </xf>
    <xf numFmtId="0" fontId="2" fillId="15" borderId="3"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0" fillId="16" borderId="0" xfId="0" applyFill="1" applyProtection="1">
      <protection hidden="1"/>
    </xf>
    <xf numFmtId="0" fontId="13" fillId="16" borderId="0" xfId="0" applyFont="1" applyFill="1" applyAlignment="1" applyProtection="1">
      <alignment textRotation="2"/>
      <protection hidden="1"/>
    </xf>
    <xf numFmtId="0" fontId="57" fillId="16" borderId="0" xfId="0" applyFont="1" applyFill="1" applyAlignment="1" applyProtection="1">
      <alignment horizontal="center"/>
      <protection hidden="1"/>
    </xf>
    <xf numFmtId="0" fontId="13" fillId="16" borderId="0" xfId="0" applyFont="1" applyFill="1" applyAlignment="1" applyProtection="1">
      <alignment textRotation="2" wrapText="1"/>
      <protection hidden="1"/>
    </xf>
    <xf numFmtId="0" fontId="59" fillId="16" borderId="0" xfId="0" applyFont="1" applyFill="1" applyProtection="1">
      <protection hidden="1"/>
    </xf>
    <xf numFmtId="0" fontId="61" fillId="16" borderId="0" xfId="0" applyFont="1" applyFill="1" applyAlignment="1" applyProtection="1">
      <alignment horizontal="center"/>
      <protection hidden="1"/>
    </xf>
    <xf numFmtId="0" fontId="13" fillId="0" borderId="0" xfId="0"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47" fillId="0" borderId="0" xfId="0" applyFont="1" applyAlignment="1">
      <alignment horizontal="left"/>
    </xf>
    <xf numFmtId="1" fontId="0" fillId="0" borderId="0" xfId="0" applyNumberFormat="1" applyAlignment="1">
      <alignment horizontal="center"/>
    </xf>
    <xf numFmtId="0" fontId="26" fillId="0" borderId="0" xfId="0" applyFont="1"/>
    <xf numFmtId="0" fontId="1" fillId="8" borderId="3" xfId="0" applyFont="1" applyFill="1" applyBorder="1" applyProtection="1">
      <protection hidden="1"/>
    </xf>
    <xf numFmtId="0" fontId="1" fillId="8" borderId="12" xfId="0" applyFont="1" applyFill="1" applyBorder="1" applyProtection="1">
      <protection hidden="1"/>
    </xf>
    <xf numFmtId="0" fontId="1" fillId="8" borderId="32" xfId="0" applyFont="1" applyFill="1" applyBorder="1" applyProtection="1">
      <protection hidden="1"/>
    </xf>
    <xf numFmtId="2" fontId="1" fillId="4" borderId="1" xfId="0" applyNumberFormat="1" applyFont="1" applyFill="1" applyBorder="1" applyAlignment="1" applyProtection="1">
      <alignment horizontal="center"/>
      <protection hidden="1"/>
    </xf>
    <xf numFmtId="0" fontId="0" fillId="0" borderId="3" xfId="0" applyBorder="1"/>
    <xf numFmtId="0" fontId="0" fillId="0" borderId="29" xfId="0" applyBorder="1"/>
    <xf numFmtId="1" fontId="13" fillId="0" borderId="0" xfId="0" applyNumberFormat="1" applyFont="1" applyAlignment="1" applyProtection="1">
      <alignment horizontal="center"/>
      <protection hidden="1"/>
    </xf>
    <xf numFmtId="1" fontId="13" fillId="0" borderId="0" xfId="0" applyNumberFormat="1" applyFont="1" applyProtection="1">
      <protection locked="0"/>
    </xf>
    <xf numFmtId="0" fontId="62" fillId="0" borderId="0" xfId="0" applyFont="1"/>
    <xf numFmtId="0" fontId="27" fillId="3" borderId="9" xfId="0" applyFont="1" applyFill="1" applyBorder="1" applyProtection="1">
      <protection hidden="1"/>
    </xf>
    <xf numFmtId="0" fontId="10" fillId="4" borderId="9" xfId="0" applyFont="1" applyFill="1" applyBorder="1" applyAlignment="1" applyProtection="1">
      <alignment horizontal="center"/>
      <protection hidden="1"/>
    </xf>
    <xf numFmtId="1" fontId="0" fillId="4" borderId="0" xfId="0" applyNumberFormat="1" applyFill="1" applyProtection="1">
      <protection hidden="1"/>
    </xf>
    <xf numFmtId="0" fontId="0" fillId="4" borderId="77" xfId="0" applyFill="1" applyBorder="1" applyProtection="1">
      <protection hidden="1"/>
    </xf>
    <xf numFmtId="0" fontId="0" fillId="4" borderId="79" xfId="0" applyFill="1" applyBorder="1" applyProtection="1">
      <protection hidden="1"/>
    </xf>
    <xf numFmtId="0" fontId="0" fillId="4" borderId="80" xfId="0" applyFill="1" applyBorder="1" applyProtection="1">
      <protection hidden="1"/>
    </xf>
    <xf numFmtId="0" fontId="0" fillId="4" borderId="76" xfId="0" applyFill="1" applyBorder="1" applyProtection="1">
      <protection hidden="1"/>
    </xf>
    <xf numFmtId="0" fontId="0" fillId="4" borderId="78" xfId="0" applyFill="1" applyBorder="1" applyProtection="1">
      <protection hidden="1"/>
    </xf>
    <xf numFmtId="0" fontId="10" fillId="4" borderId="76" xfId="0" applyFont="1" applyFill="1" applyBorder="1" applyAlignment="1" applyProtection="1">
      <alignment horizontal="center"/>
      <protection hidden="1"/>
    </xf>
    <xf numFmtId="0" fontId="0" fillId="0" borderId="78" xfId="0" applyBorder="1"/>
    <xf numFmtId="0" fontId="0" fillId="0" borderId="79" xfId="0" applyBorder="1"/>
    <xf numFmtId="0" fontId="0" fillId="0" borderId="80" xfId="0" applyBorder="1"/>
    <xf numFmtId="0" fontId="0" fillId="0" borderId="20" xfId="0" applyBorder="1"/>
    <xf numFmtId="0" fontId="0" fillId="0" borderId="17" xfId="0" applyBorder="1"/>
    <xf numFmtId="0" fontId="0" fillId="0" borderId="18" xfId="0" applyBorder="1"/>
    <xf numFmtId="0" fontId="0" fillId="0" borderId="10" xfId="0" applyBorder="1"/>
    <xf numFmtId="0" fontId="0" fillId="0" borderId="19" xfId="0" applyBorder="1"/>
    <xf numFmtId="0" fontId="0" fillId="0" borderId="7" xfId="0" applyBorder="1" applyProtection="1">
      <protection locked="0"/>
    </xf>
    <xf numFmtId="0" fontId="0" fillId="0" borderId="8" xfId="0" applyBorder="1" applyProtection="1">
      <protection locked="0"/>
    </xf>
    <xf numFmtId="0" fontId="0" fillId="0" borderId="11" xfId="0" applyBorder="1" applyProtection="1">
      <protection locked="0"/>
    </xf>
    <xf numFmtId="0" fontId="1" fillId="0" borderId="9" xfId="0" applyFont="1" applyBorder="1" applyAlignment="1" applyProtection="1">
      <alignment horizontal="center"/>
      <protection locked="0"/>
    </xf>
    <xf numFmtId="0" fontId="0" fillId="0" borderId="9" xfId="0" applyBorder="1" applyProtection="1">
      <protection locked="0" hidden="1"/>
    </xf>
    <xf numFmtId="0" fontId="1" fillId="0" borderId="0" xfId="0" applyFont="1" applyAlignment="1" applyProtection="1">
      <alignment horizontal="center"/>
      <protection locked="0" hidden="1"/>
    </xf>
    <xf numFmtId="165" fontId="4" fillId="0" borderId="0" xfId="0" applyNumberFormat="1" applyFont="1" applyAlignment="1" applyProtection="1">
      <alignment horizontal="center" vertical="center"/>
      <protection hidden="1"/>
    </xf>
    <xf numFmtId="0" fontId="16" fillId="14" borderId="1" xfId="0" applyFont="1" applyFill="1" applyBorder="1" applyAlignment="1" applyProtection="1">
      <alignment horizontal="center"/>
      <protection hidden="1"/>
    </xf>
    <xf numFmtId="0" fontId="65" fillId="0" borderId="29" xfId="0" applyFont="1" applyBorder="1" applyProtection="1">
      <protection hidden="1"/>
    </xf>
    <xf numFmtId="1" fontId="1" fillId="0" borderId="81" xfId="0" applyNumberFormat="1" applyFont="1" applyBorder="1" applyAlignment="1" applyProtection="1">
      <alignment horizontal="center"/>
      <protection hidden="1"/>
    </xf>
    <xf numFmtId="1" fontId="1" fillId="0" borderId="56" xfId="0" applyNumberFormat="1" applyFont="1" applyBorder="1" applyAlignment="1" applyProtection="1">
      <alignment horizontal="center"/>
      <protection hidden="1"/>
    </xf>
    <xf numFmtId="0" fontId="9" fillId="0" borderId="53" xfId="0" applyFont="1" applyBorder="1" applyAlignment="1" applyProtection="1">
      <alignment horizontal="center"/>
      <protection hidden="1"/>
    </xf>
    <xf numFmtId="0" fontId="9" fillId="0" borderId="55" xfId="0" applyFont="1" applyBorder="1" applyAlignment="1" applyProtection="1">
      <alignment horizontal="center"/>
      <protection hidden="1"/>
    </xf>
    <xf numFmtId="0" fontId="9" fillId="0" borderId="68" xfId="0" applyFont="1" applyBorder="1" applyAlignment="1" applyProtection="1">
      <alignment horizontal="center"/>
      <protection hidden="1"/>
    </xf>
    <xf numFmtId="2" fontId="0" fillId="2" borderId="1" xfId="0" applyNumberFormat="1" applyFill="1" applyBorder="1" applyAlignment="1" applyProtection="1">
      <alignment horizontal="center"/>
      <protection hidden="1"/>
    </xf>
    <xf numFmtId="0" fontId="0" fillId="2" borderId="1" xfId="0" applyFill="1" applyBorder="1" applyAlignment="1" applyProtection="1">
      <alignment horizontal="center"/>
      <protection hidden="1"/>
    </xf>
    <xf numFmtId="164" fontId="64" fillId="2" borderId="1" xfId="0" applyNumberFormat="1" applyFont="1" applyFill="1" applyBorder="1" applyAlignment="1" applyProtection="1">
      <alignment horizontal="center"/>
      <protection hidden="1"/>
    </xf>
    <xf numFmtId="164" fontId="0" fillId="0" borderId="0" xfId="0" applyNumberFormat="1"/>
    <xf numFmtId="0" fontId="50" fillId="14" borderId="1" xfId="0" applyFont="1" applyFill="1" applyBorder="1" applyAlignment="1" applyProtection="1">
      <alignment horizontal="center"/>
      <protection hidden="1"/>
    </xf>
    <xf numFmtId="0" fontId="50" fillId="21" borderId="82" xfId="0" applyFont="1" applyFill="1" applyBorder="1" applyAlignment="1">
      <alignment horizontal="center"/>
    </xf>
    <xf numFmtId="0" fontId="0" fillId="0" borderId="0" xfId="0" applyAlignment="1" applyProtection="1">
      <alignment horizontal="center"/>
      <protection locked="0"/>
    </xf>
    <xf numFmtId="0" fontId="11" fillId="0" borderId="29" xfId="0" applyFont="1" applyBorder="1" applyAlignment="1" applyProtection="1">
      <alignment horizontal="center"/>
      <protection hidden="1"/>
    </xf>
    <xf numFmtId="0" fontId="11" fillId="0" borderId="0" xfId="0" applyFont="1" applyAlignment="1" applyProtection="1">
      <alignment horizontal="center"/>
      <protection hidden="1"/>
    </xf>
    <xf numFmtId="0" fontId="0" fillId="0" borderId="35" xfId="0" applyBorder="1" applyAlignment="1" applyProtection="1">
      <alignment horizontal="center"/>
      <protection hidden="1"/>
    </xf>
    <xf numFmtId="165" fontId="0" fillId="4" borderId="1" xfId="0" applyNumberFormat="1" applyFill="1" applyBorder="1" applyAlignment="1" applyProtection="1">
      <alignment horizontal="center"/>
      <protection hidden="1"/>
    </xf>
    <xf numFmtId="2" fontId="0" fillId="4" borderId="1" xfId="0" applyNumberFormat="1" applyFill="1" applyBorder="1" applyAlignment="1" applyProtection="1">
      <alignment horizontal="center"/>
      <protection hidden="1"/>
    </xf>
    <xf numFmtId="2" fontId="4" fillId="2" borderId="3" xfId="0" applyNumberFormat="1" applyFont="1" applyFill="1" applyBorder="1" applyAlignment="1" applyProtection="1">
      <alignment horizontal="center"/>
      <protection hidden="1"/>
    </xf>
    <xf numFmtId="0" fontId="64" fillId="4" borderId="77" xfId="0" applyFont="1" applyFill="1" applyBorder="1" applyProtection="1">
      <protection hidden="1"/>
    </xf>
    <xf numFmtId="2" fontId="9" fillId="0" borderId="0" xfId="0" applyNumberFormat="1" applyFont="1" applyAlignment="1" applyProtection="1">
      <alignment horizontal="center" vertical="center"/>
      <protection hidden="1"/>
    </xf>
    <xf numFmtId="0" fontId="1" fillId="3" borderId="29" xfId="0" applyFont="1" applyFill="1" applyBorder="1"/>
    <xf numFmtId="0" fontId="1" fillId="3" borderId="0" xfId="0" applyFont="1" applyFill="1"/>
    <xf numFmtId="0" fontId="1" fillId="25" borderId="1" xfId="0" applyFont="1" applyFill="1" applyBorder="1" applyAlignment="1" applyProtection="1">
      <alignment horizontal="center"/>
      <protection hidden="1"/>
    </xf>
    <xf numFmtId="0" fontId="8" fillId="25" borderId="1" xfId="0" applyFont="1" applyFill="1" applyBorder="1" applyProtection="1">
      <protection hidden="1"/>
    </xf>
    <xf numFmtId="0" fontId="0" fillId="25" borderId="1" xfId="0" applyFill="1" applyBorder="1" applyProtection="1">
      <protection hidden="1"/>
    </xf>
    <xf numFmtId="0" fontId="0" fillId="0" borderId="0" xfId="0" applyAlignment="1" applyProtection="1">
      <alignment horizontal="center" vertical="center"/>
      <protection hidden="1"/>
    </xf>
    <xf numFmtId="165" fontId="0" fillId="0" borderId="9" xfId="0" applyNumberFormat="1" applyBorder="1"/>
    <xf numFmtId="0" fontId="0" fillId="27" borderId="9" xfId="0" applyFill="1" applyBorder="1"/>
    <xf numFmtId="166" fontId="0" fillId="0" borderId="0" xfId="0" applyNumberFormat="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1" fillId="0" borderId="11" xfId="0" applyFont="1" applyBorder="1" applyAlignment="1" applyProtection="1">
      <alignment horizontal="right"/>
      <protection hidden="1"/>
    </xf>
    <xf numFmtId="0" fontId="1" fillId="0" borderId="11" xfId="0" applyFont="1" applyBorder="1" applyAlignment="1" applyProtection="1">
      <alignment horizontal="right" wrapText="1" indent="1"/>
      <protection hidden="1"/>
    </xf>
    <xf numFmtId="0" fontId="0" fillId="0" borderId="0" xfId="0" applyAlignment="1">
      <alignment horizontal="right"/>
    </xf>
    <xf numFmtId="0" fontId="0" fillId="0" borderId="17" xfId="0" applyBorder="1" applyAlignment="1">
      <alignment horizontal="right"/>
    </xf>
    <xf numFmtId="166" fontId="0" fillId="28" borderId="9" xfId="0" applyNumberFormat="1" applyFill="1" applyBorder="1" applyAlignment="1">
      <alignment horizontal="center"/>
    </xf>
    <xf numFmtId="166" fontId="0" fillId="16" borderId="9" xfId="0" applyNumberFormat="1" applyFill="1" applyBorder="1" applyAlignment="1">
      <alignment horizontal="center"/>
    </xf>
    <xf numFmtId="166" fontId="0" fillId="28" borderId="9" xfId="0" applyNumberFormat="1" applyFill="1" applyBorder="1"/>
    <xf numFmtId="166" fontId="0" fillId="16" borderId="9" xfId="0" applyNumberFormat="1" applyFill="1" applyBorder="1"/>
    <xf numFmtId="0" fontId="0" fillId="2" borderId="6" xfId="0" applyFill="1" applyBorder="1" applyAlignment="1" applyProtection="1">
      <alignment horizontal="center"/>
      <protection hidden="1"/>
    </xf>
    <xf numFmtId="165" fontId="0" fillId="0" borderId="9" xfId="0" applyNumberFormat="1" applyBorder="1" applyAlignment="1">
      <alignment horizontal="center"/>
    </xf>
    <xf numFmtId="0" fontId="0" fillId="24" borderId="9" xfId="0" applyFill="1" applyBorder="1"/>
    <xf numFmtId="0" fontId="0" fillId="0" borderId="9" xfId="0" applyBorder="1" applyAlignment="1">
      <alignment horizontal="center"/>
    </xf>
    <xf numFmtId="0" fontId="0" fillId="0" borderId="21" xfId="0" applyBorder="1"/>
    <xf numFmtId="0" fontId="0" fillId="0" borderId="22" xfId="0" applyBorder="1"/>
    <xf numFmtId="0" fontId="0" fillId="0" borderId="23" xfId="0" applyBorder="1"/>
    <xf numFmtId="0" fontId="0" fillId="2" borderId="9" xfId="0" applyFill="1" applyBorder="1" applyAlignment="1" applyProtection="1">
      <alignment horizontal="center"/>
      <protection hidden="1"/>
    </xf>
    <xf numFmtId="2" fontId="1" fillId="0" borderId="42" xfId="0" applyNumberFormat="1" applyFont="1" applyBorder="1" applyAlignment="1" applyProtection="1">
      <alignment horizontal="center"/>
      <protection hidden="1"/>
    </xf>
    <xf numFmtId="2" fontId="1" fillId="0" borderId="32" xfId="0" applyNumberFormat="1" applyFont="1" applyBorder="1" applyAlignment="1" applyProtection="1">
      <alignment horizontal="center"/>
      <protection hidden="1"/>
    </xf>
    <xf numFmtId="2" fontId="1" fillId="0" borderId="40" xfId="0" applyNumberFormat="1" applyFont="1" applyBorder="1" applyAlignment="1" applyProtection="1">
      <alignment horizontal="center"/>
      <protection hidden="1"/>
    </xf>
    <xf numFmtId="0" fontId="9" fillId="0" borderId="15" xfId="0" applyFont="1" applyBorder="1" applyAlignment="1" applyProtection="1">
      <alignment horizontal="center"/>
      <protection hidden="1"/>
    </xf>
    <xf numFmtId="2" fontId="1" fillId="0" borderId="34" xfId="0" applyNumberFormat="1" applyFont="1" applyBorder="1" applyAlignment="1" applyProtection="1">
      <alignment horizontal="center"/>
      <protection hidden="1"/>
    </xf>
    <xf numFmtId="1" fontId="1" fillId="0" borderId="16" xfId="0" applyNumberFormat="1" applyFont="1" applyBorder="1" applyAlignment="1" applyProtection="1">
      <alignment horizontal="center"/>
      <protection hidden="1"/>
    </xf>
    <xf numFmtId="1" fontId="1" fillId="0" borderId="84" xfId="0" applyNumberFormat="1" applyFont="1" applyBorder="1" applyAlignment="1" applyProtection="1">
      <alignment horizontal="center"/>
      <protection hidden="1"/>
    </xf>
    <xf numFmtId="1" fontId="1" fillId="0" borderId="64" xfId="0" applyNumberFormat="1" applyFont="1" applyBorder="1" applyAlignment="1" applyProtection="1">
      <alignment horizontal="center"/>
      <protection hidden="1"/>
    </xf>
    <xf numFmtId="169" fontId="0" fillId="0" borderId="9" xfId="0" applyNumberFormat="1" applyBorder="1" applyAlignment="1">
      <alignment horizontal="center"/>
    </xf>
    <xf numFmtId="165" fontId="0" fillId="0" borderId="3" xfId="0" applyNumberFormat="1" applyBorder="1" applyAlignment="1" applyProtection="1">
      <alignment horizontal="center"/>
      <protection hidden="1"/>
    </xf>
    <xf numFmtId="0" fontId="0" fillId="0" borderId="32" xfId="0" applyBorder="1" applyAlignment="1" applyProtection="1">
      <alignment horizontal="center"/>
      <protection hidden="1"/>
    </xf>
    <xf numFmtId="0" fontId="16" fillId="0" borderId="0" xfId="0" applyFont="1" applyAlignment="1" applyProtection="1">
      <alignment horizontal="center"/>
      <protection hidden="1"/>
    </xf>
    <xf numFmtId="0" fontId="44" fillId="0" borderId="0" xfId="0" applyFont="1" applyAlignment="1" applyProtection="1">
      <alignment horizontal="center"/>
      <protection hidden="1"/>
    </xf>
    <xf numFmtId="2" fontId="0" fillId="0" borderId="32" xfId="0" applyNumberFormat="1" applyBorder="1" applyAlignment="1" applyProtection="1">
      <alignment horizontal="center"/>
      <protection hidden="1"/>
    </xf>
    <xf numFmtId="0" fontId="1" fillId="0" borderId="0" xfId="0" applyFont="1" applyAlignment="1" applyProtection="1">
      <alignment horizontal="center" vertical="center"/>
      <protection hidden="1"/>
    </xf>
    <xf numFmtId="0" fontId="68" fillId="0" borderId="0" xfId="0" applyFont="1"/>
    <xf numFmtId="2" fontId="28" fillId="0" borderId="0" xfId="0" applyNumberFormat="1" applyFont="1" applyAlignment="1" applyProtection="1">
      <alignment horizontal="center"/>
      <protection hidden="1"/>
    </xf>
    <xf numFmtId="0" fontId="16" fillId="0" borderId="0" xfId="0" applyFont="1" applyAlignment="1" applyProtection="1">
      <alignment vertical="center" wrapText="1"/>
      <protection hidden="1"/>
    </xf>
    <xf numFmtId="0" fontId="53" fillId="0" borderId="0" xfId="0" applyFont="1" applyProtection="1">
      <protection hidden="1"/>
    </xf>
    <xf numFmtId="168" fontId="0" fillId="0" borderId="0" xfId="0" applyNumberFormat="1" applyAlignment="1" applyProtection="1">
      <alignment vertical="center" wrapText="1"/>
      <protection locked="0"/>
    </xf>
    <xf numFmtId="0" fontId="44" fillId="0" borderId="0" xfId="0" applyFont="1" applyAlignment="1">
      <alignment vertical="center" wrapText="1"/>
    </xf>
    <xf numFmtId="0" fontId="44" fillId="0" borderId="0" xfId="0" applyFont="1" applyProtection="1">
      <protection hidden="1"/>
    </xf>
    <xf numFmtId="1" fontId="0" fillId="0" borderId="0" xfId="0" applyNumberFormat="1" applyAlignment="1" applyProtection="1">
      <alignment horizontal="center" vertical="center"/>
      <protection hidden="1"/>
    </xf>
    <xf numFmtId="165" fontId="44" fillId="0" borderId="0" xfId="0" applyNumberFormat="1" applyFont="1" applyProtection="1">
      <protection hidden="1"/>
    </xf>
    <xf numFmtId="2" fontId="16" fillId="0" borderId="0" xfId="0" applyNumberFormat="1" applyFont="1" applyProtection="1">
      <protection hidden="1"/>
    </xf>
    <xf numFmtId="166" fontId="0" fillId="0" borderId="0" xfId="0" applyNumberFormat="1"/>
    <xf numFmtId="0" fontId="0" fillId="8" borderId="7" xfId="0" applyFill="1" applyBorder="1" applyProtection="1">
      <protection hidden="1"/>
    </xf>
    <xf numFmtId="0" fontId="0" fillId="8" borderId="8" xfId="0" applyFill="1" applyBorder="1" applyProtection="1">
      <protection hidden="1"/>
    </xf>
    <xf numFmtId="0" fontId="0" fillId="8" borderId="20" xfId="0" applyFill="1" applyBorder="1" applyProtection="1">
      <protection hidden="1"/>
    </xf>
    <xf numFmtId="0" fontId="0" fillId="8" borderId="11" xfId="0" applyFill="1" applyBorder="1" applyProtection="1">
      <protection hidden="1"/>
    </xf>
    <xf numFmtId="0" fontId="0" fillId="8" borderId="0" xfId="0" applyFill="1" applyProtection="1">
      <protection hidden="1"/>
    </xf>
    <xf numFmtId="0" fontId="0" fillId="8" borderId="17" xfId="0" applyFill="1" applyBorder="1" applyProtection="1">
      <protection hidden="1"/>
    </xf>
    <xf numFmtId="0" fontId="68" fillId="8" borderId="0" xfId="0" applyFont="1" applyFill="1" applyProtection="1">
      <protection hidden="1"/>
    </xf>
    <xf numFmtId="0" fontId="68" fillId="8" borderId="1" xfId="0" applyFont="1" applyFill="1" applyBorder="1" applyProtection="1">
      <protection hidden="1"/>
    </xf>
    <xf numFmtId="0" fontId="68" fillId="8" borderId="2" xfId="0" applyFont="1" applyFill="1" applyBorder="1" applyAlignment="1" applyProtection="1">
      <alignment horizontal="center"/>
      <protection hidden="1"/>
    </xf>
    <xf numFmtId="0" fontId="68" fillId="8" borderId="32" xfId="0" applyFont="1" applyFill="1" applyBorder="1" applyProtection="1">
      <protection hidden="1"/>
    </xf>
    <xf numFmtId="0" fontId="68" fillId="8" borderId="1" xfId="0" applyFont="1" applyFill="1" applyBorder="1" applyAlignment="1" applyProtection="1">
      <alignment horizontal="center"/>
      <protection hidden="1"/>
    </xf>
    <xf numFmtId="0" fontId="68" fillId="8" borderId="38" xfId="0" applyFont="1" applyFill="1" applyBorder="1" applyAlignment="1" applyProtection="1">
      <alignment horizontal="center"/>
      <protection hidden="1"/>
    </xf>
    <xf numFmtId="0" fontId="68" fillId="8" borderId="35" xfId="0" applyFont="1" applyFill="1" applyBorder="1" applyProtection="1">
      <protection hidden="1"/>
    </xf>
    <xf numFmtId="0" fontId="0" fillId="8" borderId="18" xfId="0" applyFill="1" applyBorder="1" applyProtection="1">
      <protection hidden="1"/>
    </xf>
    <xf numFmtId="0" fontId="0" fillId="8" borderId="10" xfId="0" applyFill="1" applyBorder="1" applyProtection="1">
      <protection hidden="1"/>
    </xf>
    <xf numFmtId="0" fontId="0" fillId="8" borderId="19" xfId="0" applyFill="1" applyBorder="1" applyProtection="1">
      <protection hidden="1"/>
    </xf>
    <xf numFmtId="0" fontId="10" fillId="2" borderId="8" xfId="0" applyFont="1" applyFill="1" applyBorder="1" applyAlignment="1" applyProtection="1">
      <alignment horizontal="center"/>
      <protection hidden="1"/>
    </xf>
    <xf numFmtId="0" fontId="1" fillId="0" borderId="0" xfId="0" applyFont="1" applyAlignment="1" applyProtection="1">
      <alignment horizontal="left" indent="1"/>
      <protection hidden="1"/>
    </xf>
    <xf numFmtId="0" fontId="68" fillId="0" borderId="0" xfId="0" applyFont="1" applyAlignment="1" applyProtection="1">
      <alignment horizontal="left" indent="1"/>
      <protection hidden="1"/>
    </xf>
    <xf numFmtId="0" fontId="1" fillId="0" borderId="17" xfId="0" applyFont="1" applyBorder="1" applyAlignment="1">
      <alignment horizontal="left" indent="1"/>
    </xf>
    <xf numFmtId="0" fontId="1" fillId="0" borderId="8" xfId="0" applyFont="1" applyBorder="1" applyAlignment="1" applyProtection="1">
      <alignment horizontal="right" wrapText="1" indent="1"/>
      <protection hidden="1"/>
    </xf>
    <xf numFmtId="0" fontId="0" fillId="0" borderId="8" xfId="0" applyBorder="1"/>
    <xf numFmtId="0" fontId="1" fillId="0" borderId="0" xfId="0" applyFont="1" applyAlignment="1">
      <alignment horizontal="left" indent="1"/>
    </xf>
    <xf numFmtId="2" fontId="0" fillId="0" borderId="8" xfId="0" applyNumberFormat="1" applyBorder="1" applyAlignment="1" applyProtection="1">
      <alignment horizontal="center"/>
      <protection hidden="1"/>
    </xf>
    <xf numFmtId="0" fontId="68" fillId="0" borderId="1" xfId="0" applyFont="1" applyBorder="1" applyAlignment="1" applyProtection="1">
      <alignment horizontal="center"/>
      <protection locked="0"/>
    </xf>
    <xf numFmtId="0" fontId="0" fillId="31" borderId="1" xfId="0" applyFill="1" applyBorder="1" applyAlignment="1" applyProtection="1">
      <alignment horizontal="center"/>
      <protection hidden="1"/>
    </xf>
    <xf numFmtId="2" fontId="0" fillId="31" borderId="1" xfId="0" applyNumberFormat="1" applyFill="1" applyBorder="1" applyAlignment="1" applyProtection="1">
      <alignment horizontal="center"/>
      <protection hidden="1"/>
    </xf>
    <xf numFmtId="2" fontId="16" fillId="0" borderId="25" xfId="0" applyNumberFormat="1" applyFont="1" applyBorder="1" applyAlignment="1" applyProtection="1">
      <alignment horizontal="center"/>
      <protection hidden="1"/>
    </xf>
    <xf numFmtId="0" fontId="16" fillId="0" borderId="6" xfId="0" applyFont="1" applyBorder="1" applyAlignment="1" applyProtection="1">
      <alignment horizontal="center"/>
      <protection hidden="1"/>
    </xf>
    <xf numFmtId="0" fontId="16" fillId="0" borderId="9" xfId="0" applyFont="1" applyBorder="1" applyAlignment="1" applyProtection="1">
      <alignment horizontal="center"/>
      <protection hidden="1"/>
    </xf>
    <xf numFmtId="0" fontId="71" fillId="0" borderId="0" xfId="0" applyFont="1" applyProtection="1">
      <protection hidden="1"/>
    </xf>
    <xf numFmtId="2" fontId="16" fillId="0" borderId="27" xfId="0" applyNumberFormat="1" applyFont="1" applyBorder="1" applyAlignment="1" applyProtection="1">
      <alignment horizontal="center"/>
      <protection hidden="1"/>
    </xf>
    <xf numFmtId="2" fontId="16" fillId="0" borderId="2" xfId="0" applyNumberFormat="1" applyFont="1" applyBorder="1" applyAlignment="1" applyProtection="1">
      <alignment horizontal="center"/>
      <protection hidden="1"/>
    </xf>
    <xf numFmtId="0" fontId="16" fillId="0" borderId="31" xfId="0" applyFont="1" applyBorder="1" applyProtection="1">
      <protection hidden="1"/>
    </xf>
    <xf numFmtId="0" fontId="72" fillId="0" borderId="0" xfId="0" applyFont="1" applyProtection="1">
      <protection locked="0"/>
    </xf>
    <xf numFmtId="0" fontId="68" fillId="0" borderId="9" xfId="0" applyFont="1" applyBorder="1" applyAlignment="1">
      <alignment horizontal="center"/>
    </xf>
    <xf numFmtId="14" fontId="0" fillId="0" borderId="0" xfId="0" applyNumberFormat="1" applyAlignment="1" applyProtection="1">
      <alignment horizontal="center"/>
      <protection locked="0"/>
    </xf>
    <xf numFmtId="0" fontId="0" fillId="0" borderId="20" xfId="0" applyBorder="1" applyProtection="1">
      <protection locked="0"/>
    </xf>
    <xf numFmtId="0" fontId="68" fillId="0" borderId="9" xfId="0" applyFont="1" applyBorder="1" applyProtection="1">
      <protection hidden="1"/>
    </xf>
    <xf numFmtId="0" fontId="73" fillId="0" borderId="9" xfId="0" applyFont="1" applyBorder="1" applyAlignment="1" applyProtection="1">
      <alignment horizontal="center"/>
      <protection hidden="1"/>
    </xf>
    <xf numFmtId="0" fontId="0" fillId="0" borderId="17" xfId="0" applyBorder="1" applyProtection="1">
      <protection locked="0"/>
    </xf>
    <xf numFmtId="0" fontId="0" fillId="0" borderId="9" xfId="0" applyBorder="1" applyAlignment="1" applyProtection="1">
      <alignment horizontal="center"/>
      <protection hidden="1"/>
    </xf>
    <xf numFmtId="0" fontId="68" fillId="0" borderId="22" xfId="0" applyFont="1" applyBorder="1" applyProtection="1">
      <protection hidden="1"/>
    </xf>
    <xf numFmtId="0" fontId="1" fillId="0" borderId="9" xfId="0" applyFont="1" applyBorder="1" applyAlignment="1" applyProtection="1">
      <alignment horizontal="center"/>
      <protection hidden="1"/>
    </xf>
    <xf numFmtId="0" fontId="77" fillId="0" borderId="0" xfId="0" applyFont="1" applyProtection="1">
      <protection locked="0"/>
    </xf>
    <xf numFmtId="2" fontId="78" fillId="0" borderId="0" xfId="0" applyNumberFormat="1" applyFont="1" applyAlignment="1" applyProtection="1">
      <alignment horizontal="center"/>
      <protection locked="0"/>
    </xf>
    <xf numFmtId="0" fontId="76" fillId="0" borderId="0" xfId="0" applyFont="1" applyProtection="1">
      <protection locked="0"/>
    </xf>
    <xf numFmtId="173" fontId="76" fillId="0" borderId="0" xfId="0" applyNumberFormat="1" applyFont="1" applyProtection="1">
      <protection locked="0"/>
    </xf>
    <xf numFmtId="14" fontId="0" fillId="0" borderId="0" xfId="0" applyNumberFormat="1" applyProtection="1">
      <protection locked="0"/>
    </xf>
    <xf numFmtId="0" fontId="1" fillId="0" borderId="0" xfId="0" applyFont="1" applyProtection="1">
      <protection locked="0"/>
    </xf>
    <xf numFmtId="0" fontId="70" fillId="0" borderId="0" xfId="0" applyFont="1" applyAlignment="1" applyProtection="1">
      <alignment horizontal="center"/>
      <protection locked="0"/>
    </xf>
    <xf numFmtId="0" fontId="13" fillId="8" borderId="0" xfId="0" applyFont="1" applyFill="1" applyAlignment="1" applyProtection="1">
      <alignment horizontal="right"/>
      <protection hidden="1"/>
    </xf>
    <xf numFmtId="0" fontId="13" fillId="8" borderId="17" xfId="0" applyFont="1" applyFill="1" applyBorder="1" applyProtection="1">
      <protection hidden="1"/>
    </xf>
    <xf numFmtId="2" fontId="0" fillId="0" borderId="16" xfId="0" applyNumberFormat="1" applyBorder="1" applyAlignment="1" applyProtection="1">
      <alignment horizontal="center"/>
      <protection hidden="1"/>
    </xf>
    <xf numFmtId="2" fontId="0" fillId="0" borderId="56" xfId="0" applyNumberFormat="1" applyBorder="1" applyAlignment="1" applyProtection="1">
      <alignment horizontal="center"/>
      <protection hidden="1"/>
    </xf>
    <xf numFmtId="2" fontId="0" fillId="0" borderId="40" xfId="0" applyNumberFormat="1" applyBorder="1" applyAlignment="1" applyProtection="1">
      <alignment horizontal="center"/>
      <protection hidden="1"/>
    </xf>
    <xf numFmtId="2" fontId="0" fillId="0" borderId="83" xfId="0" applyNumberFormat="1" applyBorder="1" applyAlignment="1" applyProtection="1">
      <alignment horizontal="center"/>
      <protection hidden="1"/>
    </xf>
    <xf numFmtId="2" fontId="0" fillId="0" borderId="84" xfId="0" applyNumberFormat="1" applyBorder="1" applyAlignment="1" applyProtection="1">
      <alignment horizontal="center"/>
      <protection hidden="1"/>
    </xf>
    <xf numFmtId="0" fontId="68" fillId="0" borderId="21" xfId="0" applyFont="1" applyBorder="1" applyAlignment="1" applyProtection="1">
      <alignment horizontal="center"/>
      <protection hidden="1"/>
    </xf>
    <xf numFmtId="0" fontId="68" fillId="0" borderId="9" xfId="0" applyFont="1" applyBorder="1" applyAlignment="1" applyProtection="1">
      <alignment horizontal="center"/>
      <protection hidden="1"/>
    </xf>
    <xf numFmtId="0" fontId="68" fillId="0" borderId="87" xfId="0" applyFont="1" applyBorder="1" applyAlignment="1" applyProtection="1">
      <alignment horizontal="center"/>
      <protection hidden="1"/>
    </xf>
    <xf numFmtId="0" fontId="43" fillId="0" borderId="2" xfId="0" applyFont="1" applyBorder="1" applyAlignment="1" applyProtection="1">
      <alignment horizontal="center" vertical="center" wrapText="1"/>
      <protection hidden="1"/>
    </xf>
    <xf numFmtId="0" fontId="0" fillId="0" borderId="2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74" fillId="32" borderId="32" xfId="0" applyFont="1" applyFill="1" applyBorder="1" applyAlignment="1" applyProtection="1">
      <alignment horizontal="center"/>
      <protection hidden="1"/>
    </xf>
    <xf numFmtId="0" fontId="74" fillId="32" borderId="1" xfId="0" applyFont="1" applyFill="1" applyBorder="1" applyAlignment="1">
      <alignment horizontal="center"/>
    </xf>
    <xf numFmtId="0" fontId="75" fillId="33" borderId="32" xfId="0" applyFont="1" applyFill="1" applyBorder="1" applyAlignment="1" applyProtection="1">
      <alignment horizontal="center"/>
      <protection hidden="1"/>
    </xf>
    <xf numFmtId="0" fontId="76" fillId="34" borderId="1" xfId="0" applyFont="1" applyFill="1" applyBorder="1" applyAlignment="1" applyProtection="1">
      <alignment horizontal="center"/>
      <protection locked="0"/>
    </xf>
    <xf numFmtId="0" fontId="75" fillId="33" borderId="32" xfId="0" applyFont="1" applyFill="1" applyBorder="1" applyAlignment="1">
      <alignment horizontal="center"/>
    </xf>
    <xf numFmtId="0" fontId="68" fillId="0" borderId="0" xfId="0" applyFont="1" applyAlignment="1">
      <alignment horizontal="right"/>
    </xf>
    <xf numFmtId="0" fontId="44" fillId="0" borderId="7" xfId="0" applyFont="1" applyBorder="1" applyProtection="1">
      <protection hidden="1"/>
    </xf>
    <xf numFmtId="0" fontId="16" fillId="0" borderId="8" xfId="0" applyFont="1" applyBorder="1" applyProtection="1">
      <protection hidden="1"/>
    </xf>
    <xf numFmtId="0" fontId="16" fillId="0" borderId="20" xfId="0" applyFont="1" applyBorder="1" applyProtection="1">
      <protection hidden="1"/>
    </xf>
    <xf numFmtId="0" fontId="48" fillId="0" borderId="1" xfId="0" applyFont="1" applyBorder="1" applyAlignment="1" applyProtection="1">
      <alignment horizontal="center"/>
      <protection hidden="1"/>
    </xf>
    <xf numFmtId="0" fontId="1" fillId="0" borderId="55" xfId="0" applyFont="1" applyBorder="1" applyAlignment="1" applyProtection="1">
      <alignment horizontal="center"/>
      <protection hidden="1"/>
    </xf>
    <xf numFmtId="0" fontId="0" fillId="0" borderId="56" xfId="0" applyBorder="1" applyAlignment="1" applyProtection="1">
      <alignment horizontal="center"/>
      <protection hidden="1"/>
    </xf>
    <xf numFmtId="0" fontId="0" fillId="0" borderId="27" xfId="0" applyBorder="1" applyAlignment="1" applyProtection="1">
      <alignment horizontal="center" vertical="center"/>
      <protection hidden="1"/>
    </xf>
    <xf numFmtId="0" fontId="0" fillId="0" borderId="8" xfId="0" applyBorder="1" applyProtection="1">
      <protection locked="0" hidden="1"/>
    </xf>
    <xf numFmtId="0" fontId="0" fillId="0" borderId="20" xfId="0" applyBorder="1" applyProtection="1">
      <protection locked="0" hidden="1"/>
    </xf>
    <xf numFmtId="0" fontId="10" fillId="0" borderId="9" xfId="0" applyFont="1" applyBorder="1" applyAlignment="1" applyProtection="1">
      <alignment horizontal="center"/>
      <protection hidden="1"/>
    </xf>
    <xf numFmtId="0" fontId="0" fillId="0" borderId="17" xfId="0" applyBorder="1" applyProtection="1">
      <protection locked="0" hidden="1"/>
    </xf>
    <xf numFmtId="0" fontId="54" fillId="0" borderId="18" xfId="0" applyFont="1" applyBorder="1" applyProtection="1">
      <protection locked="0" hidden="1"/>
    </xf>
    <xf numFmtId="0" fontId="54" fillId="0" borderId="10" xfId="0" applyFont="1" applyBorder="1" applyProtection="1">
      <protection locked="0" hidden="1"/>
    </xf>
    <xf numFmtId="0" fontId="0" fillId="0" borderId="10" xfId="0" applyBorder="1" applyProtection="1">
      <protection locked="0" hidden="1"/>
    </xf>
    <xf numFmtId="0" fontId="0" fillId="0" borderId="19" xfId="0" applyBorder="1" applyProtection="1">
      <protection locked="0" hidden="1"/>
    </xf>
    <xf numFmtId="0" fontId="54" fillId="0" borderId="19" xfId="0" applyFont="1" applyBorder="1" applyProtection="1">
      <protection locked="0" hidden="1"/>
    </xf>
    <xf numFmtId="0" fontId="8" fillId="0" borderId="0" xfId="0" applyFont="1" applyAlignment="1" applyProtection="1">
      <alignment horizontal="center"/>
      <protection locked="0" hidden="1"/>
    </xf>
    <xf numFmtId="2" fontId="0" fillId="0" borderId="0" xfId="0" applyNumberFormat="1" applyProtection="1">
      <protection locked="0" hidden="1"/>
    </xf>
    <xf numFmtId="1" fontId="0" fillId="0" borderId="0" xfId="0" applyNumberFormat="1" applyProtection="1">
      <protection locked="0" hidden="1"/>
    </xf>
    <xf numFmtId="0" fontId="8" fillId="0" borderId="1" xfId="0" applyFont="1" applyBorder="1" applyAlignment="1" applyProtection="1">
      <alignment horizontal="center" vertical="center"/>
      <protection hidden="1"/>
    </xf>
    <xf numFmtId="0" fontId="0" fillId="0" borderId="1" xfId="0"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1" fillId="0" borderId="2" xfId="0" applyFont="1" applyBorder="1" applyAlignment="1" applyProtection="1">
      <alignment horizontal="center" vertical="center"/>
      <protection locked="0" hidden="1"/>
    </xf>
    <xf numFmtId="0" fontId="1" fillId="0" borderId="2" xfId="0" applyFont="1" applyBorder="1" applyAlignment="1" applyProtection="1">
      <alignment horizontal="center" vertical="center" wrapText="1" shrinkToFit="1"/>
      <protection locked="0" hidden="1"/>
    </xf>
    <xf numFmtId="165" fontId="0" fillId="6" borderId="16" xfId="0" applyNumberFormat="1" applyFill="1" applyBorder="1" applyAlignment="1" applyProtection="1">
      <alignment horizontal="center"/>
      <protection hidden="1"/>
    </xf>
    <xf numFmtId="165" fontId="0" fillId="6" borderId="56" xfId="0" applyNumberFormat="1" applyFill="1" applyBorder="1" applyAlignment="1" applyProtection="1">
      <alignment horizontal="center"/>
      <protection hidden="1"/>
    </xf>
    <xf numFmtId="0" fontId="0" fillId="6" borderId="83" xfId="0" applyFill="1" applyBorder="1" applyAlignment="1" applyProtection="1">
      <alignment horizontal="center"/>
      <protection hidden="1"/>
    </xf>
    <xf numFmtId="165" fontId="0" fillId="6" borderId="83" xfId="0" applyNumberFormat="1" applyFill="1" applyBorder="1" applyAlignment="1" applyProtection="1">
      <alignment horizontal="center"/>
      <protection hidden="1"/>
    </xf>
    <xf numFmtId="165" fontId="0" fillId="6" borderId="84" xfId="0" applyNumberFormat="1" applyFill="1" applyBorder="1" applyAlignment="1" applyProtection="1">
      <alignment horizontal="center"/>
      <protection hidden="1"/>
    </xf>
    <xf numFmtId="0" fontId="0" fillId="0" borderId="7" xfId="0" applyBorder="1"/>
    <xf numFmtId="0" fontId="1" fillId="0" borderId="9" xfId="0" applyFont="1" applyBorder="1" applyAlignment="1">
      <alignment horizontal="center"/>
    </xf>
    <xf numFmtId="2" fontId="0" fillId="0" borderId="9" xfId="0" applyNumberFormat="1" applyBorder="1" applyAlignment="1" applyProtection="1">
      <alignment horizontal="center"/>
      <protection hidden="1"/>
    </xf>
    <xf numFmtId="0" fontId="0" fillId="35" borderId="7" xfId="0" applyFill="1" applyBorder="1" applyProtection="1">
      <protection hidden="1"/>
    </xf>
    <xf numFmtId="0" fontId="0" fillId="35" borderId="8" xfId="0" applyFill="1" applyBorder="1" applyProtection="1">
      <protection hidden="1"/>
    </xf>
    <xf numFmtId="0" fontId="0" fillId="35" borderId="20" xfId="0" applyFill="1" applyBorder="1" applyProtection="1">
      <protection hidden="1"/>
    </xf>
    <xf numFmtId="0" fontId="0" fillId="35" borderId="11" xfId="0" applyFill="1" applyBorder="1" applyProtection="1">
      <protection hidden="1"/>
    </xf>
    <xf numFmtId="0" fontId="0" fillId="35" borderId="17" xfId="0" applyFill="1" applyBorder="1" applyProtection="1">
      <protection hidden="1"/>
    </xf>
    <xf numFmtId="0" fontId="0" fillId="35" borderId="0" xfId="0" applyFill="1" applyProtection="1">
      <protection hidden="1"/>
    </xf>
    <xf numFmtId="0" fontId="68" fillId="35" borderId="0" xfId="0" applyFont="1" applyFill="1" applyProtection="1">
      <protection hidden="1"/>
    </xf>
    <xf numFmtId="0" fontId="1" fillId="35" borderId="0" xfId="0" applyFont="1" applyFill="1" applyAlignment="1" applyProtection="1">
      <alignment vertical="center" wrapText="1"/>
      <protection hidden="1"/>
    </xf>
    <xf numFmtId="0" fontId="0" fillId="35" borderId="1" xfId="0" applyFill="1" applyBorder="1" applyAlignment="1" applyProtection="1">
      <alignment horizontal="center"/>
      <protection hidden="1"/>
    </xf>
    <xf numFmtId="0" fontId="0" fillId="35" borderId="18" xfId="0" applyFill="1" applyBorder="1" applyProtection="1">
      <protection hidden="1"/>
    </xf>
    <xf numFmtId="0" fontId="0" fillId="35" borderId="10" xfId="0" applyFill="1" applyBorder="1" applyProtection="1">
      <protection hidden="1"/>
    </xf>
    <xf numFmtId="0" fontId="0" fillId="35" borderId="19" xfId="0" applyFill="1" applyBorder="1" applyProtection="1">
      <protection hidden="1"/>
    </xf>
    <xf numFmtId="0" fontId="0" fillId="35" borderId="1" xfId="0" applyFill="1" applyBorder="1" applyAlignment="1" applyProtection="1">
      <alignment horizontal="center"/>
      <protection locked="0" hidden="1"/>
    </xf>
    <xf numFmtId="0" fontId="1" fillId="0" borderId="0" xfId="0" applyFont="1" applyAlignment="1">
      <alignment vertical="center"/>
    </xf>
    <xf numFmtId="0" fontId="84" fillId="0" borderId="0" xfId="0" applyFont="1" applyAlignment="1">
      <alignment vertical="center"/>
    </xf>
    <xf numFmtId="2" fontId="68" fillId="0" borderId="0" xfId="0" applyNumberFormat="1" applyFont="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xf>
    <xf numFmtId="0" fontId="70" fillId="0" borderId="0" xfId="0" applyFont="1" applyAlignment="1">
      <alignment horizontal="center" vertical="center"/>
    </xf>
    <xf numFmtId="0" fontId="85" fillId="0" borderId="0" xfId="0" applyFont="1"/>
    <xf numFmtId="0" fontId="83" fillId="4" borderId="11" xfId="0" applyFont="1" applyFill="1" applyBorder="1" applyAlignment="1" applyProtection="1">
      <alignment horizontal="right" vertical="center"/>
      <protection hidden="1"/>
    </xf>
    <xf numFmtId="0" fontId="83" fillId="4" borderId="0" xfId="0" applyFont="1" applyFill="1" applyAlignment="1" applyProtection="1">
      <alignment vertical="center"/>
      <protection hidden="1"/>
    </xf>
    <xf numFmtId="0" fontId="83" fillId="4" borderId="55"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83" fillId="4" borderId="60" xfId="0" applyFont="1" applyFill="1" applyBorder="1" applyAlignment="1" applyProtection="1">
      <alignment vertical="center"/>
      <protection hidden="1"/>
    </xf>
    <xf numFmtId="0" fontId="0" fillId="4" borderId="45" xfId="0" applyFill="1" applyBorder="1" applyProtection="1">
      <protection hidden="1"/>
    </xf>
    <xf numFmtId="0" fontId="87" fillId="4" borderId="0" xfId="0" applyFont="1" applyFill="1" applyAlignment="1" applyProtection="1">
      <alignment vertical="center"/>
      <protection hidden="1"/>
    </xf>
    <xf numFmtId="0" fontId="87" fillId="4" borderId="15" xfId="0" applyFont="1" applyFill="1" applyBorder="1" applyAlignment="1" applyProtection="1">
      <alignment horizontal="center" vertical="center"/>
      <protection hidden="1"/>
    </xf>
    <xf numFmtId="0" fontId="0" fillId="4" borderId="2" xfId="0" applyFill="1" applyBorder="1" applyProtection="1">
      <protection hidden="1"/>
    </xf>
    <xf numFmtId="0" fontId="1" fillId="4" borderId="25" xfId="0" applyFont="1" applyFill="1" applyBorder="1" applyAlignment="1" applyProtection="1">
      <alignment horizontal="center"/>
      <protection hidden="1"/>
    </xf>
    <xf numFmtId="0" fontId="9" fillId="4" borderId="11" xfId="0" applyFont="1" applyFill="1" applyBorder="1" applyAlignment="1" applyProtection="1">
      <alignment horizontal="right"/>
      <protection hidden="1"/>
    </xf>
    <xf numFmtId="2" fontId="84" fillId="4" borderId="1" xfId="0" applyNumberFormat="1" applyFont="1" applyFill="1" applyBorder="1" applyAlignment="1" applyProtection="1">
      <alignment horizontal="center" vertical="center"/>
      <protection hidden="1"/>
    </xf>
    <xf numFmtId="0" fontId="1" fillId="4" borderId="17" xfId="0" applyFont="1" applyFill="1" applyBorder="1" applyAlignment="1" applyProtection="1">
      <alignment vertical="center"/>
      <protection hidden="1"/>
    </xf>
    <xf numFmtId="0" fontId="0" fillId="4" borderId="25" xfId="0" applyFill="1" applyBorder="1" applyAlignment="1" applyProtection="1">
      <alignment horizontal="center"/>
      <protection locked="0" hidden="1"/>
    </xf>
    <xf numFmtId="0" fontId="68" fillId="0" borderId="0" xfId="0" applyFont="1" applyAlignment="1" applyProtection="1">
      <alignment horizontal="center"/>
      <protection hidden="1"/>
    </xf>
    <xf numFmtId="0" fontId="70" fillId="0" borderId="0" xfId="0" applyFont="1" applyProtection="1">
      <protection hidden="1"/>
    </xf>
    <xf numFmtId="0" fontId="68" fillId="0" borderId="0" xfId="0" applyFont="1" applyProtection="1">
      <protection hidden="1"/>
    </xf>
    <xf numFmtId="2" fontId="68" fillId="0" borderId="0" xfId="0" applyNumberFormat="1" applyFont="1" applyAlignment="1" applyProtection="1">
      <alignment horizontal="center"/>
      <protection hidden="1"/>
    </xf>
    <xf numFmtId="0" fontId="68" fillId="0" borderId="0" xfId="0" applyFont="1" applyAlignment="1" applyProtection="1">
      <alignment horizontal="right"/>
      <protection hidden="1"/>
    </xf>
    <xf numFmtId="164" fontId="66" fillId="23" borderId="88" xfId="0" applyNumberFormat="1" applyFont="1" applyFill="1" applyBorder="1" applyAlignment="1">
      <alignment horizontal="center"/>
    </xf>
    <xf numFmtId="172" fontId="0" fillId="0" borderId="0" xfId="0" applyNumberFormat="1"/>
    <xf numFmtId="166" fontId="0" fillId="28" borderId="9" xfId="0" applyNumberFormat="1" applyFill="1" applyBorder="1" applyAlignment="1" applyProtection="1">
      <alignment horizontal="center"/>
      <protection hidden="1"/>
    </xf>
    <xf numFmtId="0" fontId="0" fillId="16" borderId="9" xfId="0" applyFill="1" applyBorder="1" applyProtection="1">
      <protection hidden="1"/>
    </xf>
    <xf numFmtId="0" fontId="0" fillId="25" borderId="0" xfId="0" applyFill="1"/>
    <xf numFmtId="0" fontId="0" fillId="25" borderId="17" xfId="0" applyFill="1" applyBorder="1"/>
    <xf numFmtId="0" fontId="0" fillId="25" borderId="11" xfId="0" applyFill="1" applyBorder="1"/>
    <xf numFmtId="0" fontId="0" fillId="17" borderId="9" xfId="0" applyFill="1" applyBorder="1" applyAlignment="1" applyProtection="1">
      <alignment horizontal="center"/>
      <protection hidden="1"/>
    </xf>
    <xf numFmtId="0" fontId="10" fillId="0" borderId="0" xfId="0" applyFont="1" applyAlignment="1" applyProtection="1">
      <alignment horizontal="right"/>
      <protection hidden="1"/>
    </xf>
    <xf numFmtId="0" fontId="70" fillId="0" borderId="0" xfId="0" applyFont="1" applyAlignment="1" applyProtection="1">
      <alignment horizontal="right"/>
      <protection hidden="1"/>
    </xf>
    <xf numFmtId="0" fontId="69" fillId="0" borderId="0" xfId="0" applyFont="1" applyProtection="1">
      <protection hidden="1"/>
    </xf>
    <xf numFmtId="0" fontId="0" fillId="0" borderId="9" xfId="0" applyBorder="1" applyAlignment="1" applyProtection="1">
      <alignment horizontal="center"/>
      <protection locked="0" hidden="1"/>
    </xf>
    <xf numFmtId="0" fontId="54" fillId="0" borderId="0" xfId="0" applyFont="1" applyProtection="1">
      <protection hidden="1"/>
    </xf>
    <xf numFmtId="0" fontId="10" fillId="17" borderId="9" xfId="0" applyFont="1" applyFill="1" applyBorder="1" applyAlignment="1" applyProtection="1">
      <alignment horizontal="center" vertical="center"/>
      <protection hidden="1"/>
    </xf>
    <xf numFmtId="167" fontId="10" fillId="17" borderId="9" xfId="0" applyNumberFormat="1" applyFont="1" applyFill="1" applyBorder="1" applyAlignment="1" applyProtection="1">
      <alignment horizontal="center"/>
      <protection hidden="1"/>
    </xf>
    <xf numFmtId="0" fontId="68" fillId="0" borderId="11" xfId="0" applyFont="1" applyBorder="1" applyAlignment="1" applyProtection="1">
      <alignment horizontal="right"/>
      <protection hidden="1"/>
    </xf>
    <xf numFmtId="0" fontId="79" fillId="0" borderId="0" xfId="0" applyFont="1" applyProtection="1">
      <protection hidden="1"/>
    </xf>
    <xf numFmtId="2" fontId="1" fillId="17" borderId="9" xfId="0" applyNumberFormat="1" applyFont="1" applyFill="1" applyBorder="1" applyAlignment="1" applyProtection="1">
      <alignment horizontal="center" vertical="center"/>
      <protection hidden="1"/>
    </xf>
    <xf numFmtId="0" fontId="79" fillId="0" borderId="11" xfId="0" applyFont="1" applyBorder="1" applyProtection="1">
      <protection hidden="1"/>
    </xf>
    <xf numFmtId="0" fontId="68" fillId="17" borderId="9" xfId="0" applyFont="1" applyFill="1" applyBorder="1" applyAlignment="1" applyProtection="1">
      <alignment horizontal="right"/>
      <protection hidden="1"/>
    </xf>
    <xf numFmtId="0" fontId="0" fillId="25" borderId="0" xfId="0" applyFill="1" applyProtection="1">
      <protection hidden="1"/>
    </xf>
    <xf numFmtId="0" fontId="0" fillId="25" borderId="17" xfId="0" applyFill="1" applyBorder="1" applyProtection="1">
      <protection hidden="1"/>
    </xf>
    <xf numFmtId="0" fontId="0" fillId="25" borderId="11" xfId="0" applyFill="1" applyBorder="1" applyProtection="1">
      <protection hidden="1"/>
    </xf>
    <xf numFmtId="166" fontId="0" fillId="4" borderId="27" xfId="0" applyNumberFormat="1" applyFill="1" applyBorder="1" applyAlignment="1" applyProtection="1">
      <alignment horizontal="center"/>
      <protection hidden="1"/>
    </xf>
    <xf numFmtId="0" fontId="44" fillId="12" borderId="12" xfId="0" applyFont="1" applyFill="1" applyBorder="1" applyAlignment="1" applyProtection="1">
      <alignment horizontal="center"/>
      <protection hidden="1"/>
    </xf>
    <xf numFmtId="0" fontId="0" fillId="0" borderId="27" xfId="0" applyBorder="1" applyAlignment="1" applyProtection="1">
      <alignment horizontal="center"/>
      <protection hidden="1"/>
    </xf>
    <xf numFmtId="0" fontId="45" fillId="12" borderId="0" xfId="0" applyFont="1" applyFill="1" applyAlignment="1" applyProtection="1">
      <alignment horizontal="center" vertical="center" wrapText="1"/>
      <protection hidden="1"/>
    </xf>
    <xf numFmtId="0" fontId="44" fillId="12" borderId="0" xfId="0" applyFont="1" applyFill="1" applyAlignment="1" applyProtection="1">
      <alignment horizontal="center" vertical="center" wrapText="1"/>
      <protection hidden="1"/>
    </xf>
    <xf numFmtId="0" fontId="44" fillId="12" borderId="0" xfId="0" applyFont="1" applyFill="1" applyAlignment="1" applyProtection="1">
      <alignment vertical="center"/>
      <protection hidden="1"/>
    </xf>
    <xf numFmtId="0" fontId="44" fillId="12" borderId="0" xfId="0" applyFont="1" applyFill="1" applyAlignment="1">
      <alignment horizontal="center" vertical="center" wrapText="1"/>
    </xf>
    <xf numFmtId="0" fontId="1" fillId="4" borderId="0" xfId="0" applyFont="1" applyFill="1" applyAlignment="1" applyProtection="1">
      <alignment horizontal="left"/>
      <protection hidden="1"/>
    </xf>
    <xf numFmtId="0" fontId="44" fillId="12" borderId="0" xfId="0" applyFont="1" applyFill="1" applyAlignment="1" applyProtection="1">
      <alignment horizontal="center" vertical="center"/>
      <protection hidden="1"/>
    </xf>
    <xf numFmtId="0" fontId="1" fillId="4" borderId="0" xfId="0" applyFont="1" applyFill="1" applyProtection="1">
      <protection hidden="1"/>
    </xf>
    <xf numFmtId="0" fontId="13" fillId="4" borderId="2" xfId="0" applyFont="1" applyFill="1" applyBorder="1" applyAlignment="1" applyProtection="1">
      <alignment horizontal="center"/>
      <protection hidden="1"/>
    </xf>
    <xf numFmtId="0" fontId="47" fillId="12" borderId="0" xfId="0" applyFont="1" applyFill="1" applyAlignment="1" applyProtection="1">
      <alignment horizontal="left"/>
      <protection hidden="1"/>
    </xf>
    <xf numFmtId="165" fontId="0" fillId="0" borderId="2" xfId="0" applyNumberFormat="1" applyBorder="1" applyAlignment="1">
      <alignment horizontal="center"/>
    </xf>
    <xf numFmtId="0" fontId="16" fillId="12" borderId="0" xfId="0" applyFont="1" applyFill="1" applyAlignment="1" applyProtection="1">
      <alignment horizontal="center"/>
      <protection hidden="1"/>
    </xf>
    <xf numFmtId="0" fontId="27" fillId="3" borderId="4" xfId="0" applyFont="1" applyFill="1" applyBorder="1" applyProtection="1">
      <protection hidden="1"/>
    </xf>
    <xf numFmtId="165" fontId="31" fillId="0" borderId="27" xfId="0" applyNumberFormat="1" applyFont="1" applyBorder="1" applyAlignment="1" applyProtection="1">
      <alignment horizontal="center" vertical="center" wrapText="1"/>
      <protection hidden="1"/>
    </xf>
    <xf numFmtId="0" fontId="88" fillId="0" borderId="0" xfId="0" applyFont="1" applyAlignment="1" applyProtection="1">
      <alignment horizontal="center"/>
      <protection hidden="1"/>
    </xf>
    <xf numFmtId="0" fontId="0" fillId="0" borderId="1" xfId="0" applyBorder="1" applyAlignment="1" applyProtection="1">
      <alignment horizontal="center"/>
      <protection locked="0"/>
    </xf>
    <xf numFmtId="0" fontId="1" fillId="0" borderId="2" xfId="0" applyFont="1" applyBorder="1" applyAlignment="1" applyProtection="1">
      <alignment horizontal="center"/>
      <protection hidden="1"/>
    </xf>
    <xf numFmtId="0" fontId="0" fillId="0" borderId="2" xfId="0" applyBorder="1" applyAlignment="1" applyProtection="1">
      <alignment horizontal="center"/>
      <protection locked="0"/>
    </xf>
    <xf numFmtId="0" fontId="0" fillId="0" borderId="27" xfId="0" applyBorder="1" applyAlignment="1" applyProtection="1">
      <alignment horizontal="center"/>
      <protection locked="0"/>
    </xf>
    <xf numFmtId="2" fontId="0" fillId="6" borderId="2" xfId="0" applyNumberFormat="1" applyFill="1" applyBorder="1" applyProtection="1">
      <protection hidden="1"/>
    </xf>
    <xf numFmtId="2" fontId="0" fillId="6" borderId="1" xfId="0" applyNumberFormat="1" applyFill="1" applyBorder="1" applyProtection="1">
      <protection hidden="1"/>
    </xf>
    <xf numFmtId="0" fontId="0" fillId="0" borderId="17" xfId="0" applyBorder="1" applyAlignment="1" applyProtection="1">
      <alignment horizontal="left"/>
      <protection hidden="1"/>
    </xf>
    <xf numFmtId="0" fontId="0" fillId="0" borderId="61" xfId="0" applyBorder="1" applyProtection="1">
      <protection hidden="1"/>
    </xf>
    <xf numFmtId="0" fontId="0" fillId="0" borderId="85" xfId="0" applyBorder="1" applyProtection="1">
      <protection hidden="1"/>
    </xf>
    <xf numFmtId="0" fontId="0" fillId="0" borderId="62" xfId="0" applyBorder="1" applyProtection="1">
      <protection hidden="1"/>
    </xf>
    <xf numFmtId="0" fontId="89" fillId="0" borderId="0" xfId="0" applyFont="1" applyProtection="1">
      <protection hidden="1"/>
    </xf>
    <xf numFmtId="0" fontId="13" fillId="0" borderId="0" xfId="0" applyFont="1"/>
    <xf numFmtId="0" fontId="91" fillId="0" borderId="4" xfId="0" applyFont="1" applyBorder="1" applyAlignment="1" applyProtection="1">
      <alignment horizontal="center"/>
      <protection hidden="1"/>
    </xf>
    <xf numFmtId="0" fontId="89" fillId="0" borderId="6" xfId="0" applyFont="1" applyBorder="1" applyProtection="1">
      <protection hidden="1"/>
    </xf>
    <xf numFmtId="0" fontId="59" fillId="0" borderId="0" xfId="0" applyFont="1" applyProtection="1">
      <protection hidden="1"/>
    </xf>
    <xf numFmtId="0" fontId="92" fillId="0" borderId="4" xfId="0" applyFont="1" applyBorder="1" applyAlignment="1" applyProtection="1">
      <alignment horizontal="center"/>
      <protection hidden="1"/>
    </xf>
    <xf numFmtId="0" fontId="69" fillId="0" borderId="8" xfId="0" applyFont="1" applyBorder="1" applyProtection="1">
      <protection hidden="1"/>
    </xf>
    <xf numFmtId="0" fontId="94" fillId="0" borderId="0" xfId="0" applyFont="1" applyProtection="1">
      <protection hidden="1"/>
    </xf>
    <xf numFmtId="0" fontId="74" fillId="0" borderId="0" xfId="0" applyFont="1" applyProtection="1">
      <protection hidden="1"/>
    </xf>
    <xf numFmtId="0" fontId="79" fillId="0" borderId="8" xfId="0" applyFont="1" applyBorder="1" applyProtection="1">
      <protection hidden="1"/>
    </xf>
    <xf numFmtId="0" fontId="98" fillId="0" borderId="0" xfId="0" applyFont="1" applyProtection="1">
      <protection hidden="1"/>
    </xf>
    <xf numFmtId="0" fontId="100" fillId="0" borderId="0" xfId="0" applyFont="1" applyProtection="1">
      <protection hidden="1"/>
    </xf>
    <xf numFmtId="0" fontId="100" fillId="0" borderId="17" xfId="0" applyFont="1" applyBorder="1" applyProtection="1">
      <protection hidden="1"/>
    </xf>
    <xf numFmtId="0" fontId="100" fillId="0" borderId="0" xfId="0" applyFont="1"/>
    <xf numFmtId="0" fontId="79" fillId="0" borderId="10" xfId="0" applyFont="1" applyBorder="1" applyProtection="1">
      <protection hidden="1"/>
    </xf>
    <xf numFmtId="0" fontId="68" fillId="0" borderId="19" xfId="0" applyFont="1" applyBorder="1" applyProtection="1">
      <protection hidden="1"/>
    </xf>
    <xf numFmtId="0" fontId="0" fillId="29" borderId="1" xfId="0" applyFill="1" applyBorder="1" applyAlignment="1" applyProtection="1">
      <alignment horizontal="center"/>
      <protection hidden="1"/>
    </xf>
    <xf numFmtId="0" fontId="103" fillId="0" borderId="8" xfId="0" applyFont="1" applyBorder="1" applyProtection="1">
      <protection hidden="1"/>
    </xf>
    <xf numFmtId="0" fontId="0" fillId="29" borderId="56" xfId="0" applyFill="1" applyBorder="1" applyAlignment="1" applyProtection="1">
      <alignment horizontal="center"/>
      <protection hidden="1"/>
    </xf>
    <xf numFmtId="0" fontId="0" fillId="35" borderId="56" xfId="0" applyFill="1" applyBorder="1" applyAlignment="1" applyProtection="1">
      <alignment horizontal="center"/>
      <protection hidden="1"/>
    </xf>
    <xf numFmtId="0" fontId="114" fillId="0" borderId="11" xfId="0" applyFont="1" applyBorder="1" applyAlignment="1" applyProtection="1">
      <alignment horizontal="left"/>
      <protection hidden="1"/>
    </xf>
    <xf numFmtId="0" fontId="115" fillId="0" borderId="11" xfId="0" applyFont="1" applyBorder="1" applyProtection="1">
      <protection hidden="1"/>
    </xf>
    <xf numFmtId="0" fontId="75" fillId="0" borderId="38" xfId="0" applyFont="1" applyBorder="1" applyProtection="1">
      <protection hidden="1"/>
    </xf>
    <xf numFmtId="0" fontId="16" fillId="0" borderId="17" xfId="0" applyFont="1" applyBorder="1" applyProtection="1">
      <protection hidden="1"/>
    </xf>
    <xf numFmtId="0" fontId="74" fillId="29" borderId="1" xfId="0" applyFont="1" applyFill="1" applyBorder="1" applyAlignment="1" applyProtection="1">
      <alignment horizontal="center"/>
      <protection hidden="1"/>
    </xf>
    <xf numFmtId="0" fontId="66" fillId="0" borderId="0" xfId="0" applyFont="1" applyAlignment="1" applyProtection="1">
      <alignment horizontal="center"/>
      <protection locked="0"/>
    </xf>
    <xf numFmtId="1" fontId="101" fillId="0" borderId="0" xfId="0" applyNumberFormat="1" applyFont="1" applyAlignment="1" applyProtection="1">
      <alignment horizontal="center"/>
      <protection hidden="1"/>
    </xf>
    <xf numFmtId="2" fontId="101" fillId="0" borderId="0" xfId="0" applyNumberFormat="1" applyFont="1" applyAlignment="1" applyProtection="1">
      <alignment horizontal="center"/>
      <protection hidden="1"/>
    </xf>
    <xf numFmtId="0" fontId="79" fillId="0" borderId="0" xfId="0" applyFont="1"/>
    <xf numFmtId="0" fontId="98" fillId="0" borderId="0" xfId="0" applyFont="1"/>
    <xf numFmtId="0" fontId="66" fillId="0" borderId="0" xfId="0" applyFont="1" applyAlignment="1" applyProtection="1">
      <alignment horizontal="center"/>
      <protection locked="0" hidden="1"/>
    </xf>
    <xf numFmtId="1" fontId="101" fillId="0" borderId="0" xfId="0" applyNumberFormat="1" applyFont="1" applyAlignment="1">
      <alignment horizontal="center"/>
    </xf>
    <xf numFmtId="0" fontId="99" fillId="0" borderId="0" xfId="0" applyFont="1" applyProtection="1">
      <protection hidden="1"/>
    </xf>
    <xf numFmtId="0" fontId="0" fillId="0" borderId="25" xfId="0" applyBorder="1" applyAlignment="1" applyProtection="1">
      <alignment horizontal="center"/>
      <protection locked="0" hidden="1"/>
    </xf>
    <xf numFmtId="164" fontId="33" fillId="0" borderId="0" xfId="0" applyNumberFormat="1" applyFont="1" applyAlignment="1" applyProtection="1">
      <alignment horizontal="center"/>
      <protection hidden="1"/>
    </xf>
    <xf numFmtId="164" fontId="0" fillId="0" borderId="0" xfId="0" applyNumberFormat="1" applyProtection="1">
      <protection hidden="1"/>
    </xf>
    <xf numFmtId="0" fontId="117" fillId="0" borderId="0" xfId="0" applyFont="1" applyAlignment="1" applyProtection="1">
      <alignment vertical="center"/>
      <protection hidden="1"/>
    </xf>
    <xf numFmtId="0" fontId="118" fillId="0" borderId="0" xfId="0" applyFont="1" applyAlignment="1" applyProtection="1">
      <alignment vertical="center"/>
      <protection hidden="1"/>
    </xf>
    <xf numFmtId="0" fontId="79" fillId="0" borderId="55" xfId="0" applyFont="1" applyBorder="1" applyProtection="1">
      <protection hidden="1"/>
    </xf>
    <xf numFmtId="0" fontId="0" fillId="0" borderId="32" xfId="0" applyBorder="1" applyProtection="1">
      <protection hidden="1"/>
    </xf>
    <xf numFmtId="0" fontId="94" fillId="0" borderId="3" xfId="0" applyFont="1" applyBorder="1" applyProtection="1">
      <protection locked="0" hidden="1"/>
    </xf>
    <xf numFmtId="0" fontId="94" fillId="0" borderId="3" xfId="0" applyFont="1" applyBorder="1" applyAlignment="1" applyProtection="1">
      <alignment horizontal="right"/>
      <protection locked="0" hidden="1"/>
    </xf>
    <xf numFmtId="0" fontId="94" fillId="17" borderId="32" xfId="0" applyFont="1" applyFill="1" applyBorder="1" applyProtection="1">
      <protection hidden="1"/>
    </xf>
    <xf numFmtId="164" fontId="33" fillId="17" borderId="4" xfId="0" applyNumberFormat="1" applyFont="1" applyFill="1" applyBorder="1" applyAlignment="1" applyProtection="1">
      <alignment horizontal="center"/>
      <protection hidden="1"/>
    </xf>
    <xf numFmtId="0" fontId="64" fillId="17" borderId="1" xfId="0" applyFont="1" applyFill="1" applyBorder="1" applyAlignment="1" applyProtection="1">
      <alignment horizontal="center"/>
      <protection hidden="1"/>
    </xf>
    <xf numFmtId="0" fontId="79" fillId="17" borderId="54" xfId="0" applyFont="1" applyFill="1" applyBorder="1" applyProtection="1">
      <protection hidden="1"/>
    </xf>
    <xf numFmtId="164" fontId="79" fillId="17" borderId="9" xfId="0" applyNumberFormat="1" applyFont="1" applyFill="1" applyBorder="1" applyProtection="1">
      <protection hidden="1"/>
    </xf>
    <xf numFmtId="0" fontId="79" fillId="17" borderId="1" xfId="0" applyFont="1" applyFill="1" applyBorder="1" applyProtection="1">
      <protection hidden="1"/>
    </xf>
    <xf numFmtId="0" fontId="68" fillId="0" borderId="18" xfId="0" applyFont="1" applyBorder="1" applyAlignment="1" applyProtection="1">
      <alignment vertical="center"/>
      <protection hidden="1"/>
    </xf>
    <xf numFmtId="0" fontId="68" fillId="0" borderId="10" xfId="0" applyFont="1" applyBorder="1" applyAlignment="1" applyProtection="1">
      <alignment vertical="center"/>
      <protection hidden="1"/>
    </xf>
    <xf numFmtId="0" fontId="68" fillId="17" borderId="1" xfId="0" applyFont="1" applyFill="1" applyBorder="1" applyProtection="1">
      <protection hidden="1"/>
    </xf>
    <xf numFmtId="0" fontId="64" fillId="0" borderId="9" xfId="0" applyFont="1" applyBorder="1" applyAlignment="1" applyProtection="1">
      <alignment horizontal="center"/>
      <protection locked="0"/>
    </xf>
    <xf numFmtId="0" fontId="80" fillId="0" borderId="9" xfId="0" applyFont="1" applyBorder="1" applyAlignment="1" applyProtection="1">
      <alignment horizontal="center" vertical="center"/>
      <protection locked="0" hidden="1"/>
    </xf>
    <xf numFmtId="0" fontId="68" fillId="0" borderId="10" xfId="0" applyFont="1" applyBorder="1" applyProtection="1">
      <protection hidden="1"/>
    </xf>
    <xf numFmtId="0" fontId="95" fillId="0" borderId="3" xfId="0" applyFont="1" applyBorder="1" applyProtection="1">
      <protection locked="0" hidden="1"/>
    </xf>
    <xf numFmtId="1" fontId="95" fillId="0" borderId="3" xfId="0" applyNumberFormat="1" applyFont="1" applyBorder="1" applyAlignment="1" applyProtection="1">
      <alignment horizontal="right"/>
      <protection locked="0" hidden="1"/>
    </xf>
    <xf numFmtId="0" fontId="105" fillId="17" borderId="32" xfId="0" applyFont="1" applyFill="1" applyBorder="1" applyProtection="1">
      <protection hidden="1"/>
    </xf>
    <xf numFmtId="0" fontId="95" fillId="17" borderId="32" xfId="0" applyFont="1" applyFill="1" applyBorder="1" applyProtection="1">
      <protection hidden="1"/>
    </xf>
    <xf numFmtId="0" fontId="106" fillId="17" borderId="32" xfId="0" applyFont="1" applyFill="1" applyBorder="1" applyAlignment="1" applyProtection="1">
      <alignment horizontal="left"/>
      <protection hidden="1"/>
    </xf>
    <xf numFmtId="0" fontId="106" fillId="17" borderId="32" xfId="0" applyFont="1" applyFill="1" applyBorder="1" applyProtection="1">
      <protection hidden="1"/>
    </xf>
    <xf numFmtId="167" fontId="74" fillId="17" borderId="30" xfId="0" applyNumberFormat="1" applyFont="1" applyFill="1" applyBorder="1" applyProtection="1">
      <protection hidden="1"/>
    </xf>
    <xf numFmtId="0" fontId="109" fillId="17" borderId="45" xfId="0" applyFont="1" applyFill="1" applyBorder="1" applyProtection="1">
      <protection hidden="1"/>
    </xf>
    <xf numFmtId="1" fontId="109" fillId="0" borderId="11" xfId="0" applyNumberFormat="1" applyFont="1" applyBorder="1" applyProtection="1">
      <protection hidden="1"/>
    </xf>
    <xf numFmtId="164" fontId="10" fillId="17" borderId="9" xfId="0" applyNumberFormat="1" applyFont="1" applyFill="1" applyBorder="1" applyAlignment="1" applyProtection="1">
      <alignment horizontal="center"/>
      <protection hidden="1"/>
    </xf>
    <xf numFmtId="0" fontId="17" fillId="0" borderId="0" xfId="0" applyFont="1" applyAlignment="1" applyProtection="1">
      <alignment horizontal="center"/>
      <protection locked="0" hidden="1"/>
    </xf>
    <xf numFmtId="0" fontId="1" fillId="0" borderId="0" xfId="0" applyFont="1" applyProtection="1">
      <protection locked="0" hidden="1"/>
    </xf>
    <xf numFmtId="0" fontId="64" fillId="0" borderId="0" xfId="0" applyFont="1" applyAlignment="1" applyProtection="1">
      <alignment horizontal="center"/>
      <protection locked="0"/>
    </xf>
    <xf numFmtId="164" fontId="10" fillId="0" borderId="0" xfId="0" applyNumberFormat="1" applyFont="1" applyAlignment="1" applyProtection="1">
      <alignment horizontal="center"/>
      <protection locked="0" hidden="1"/>
    </xf>
    <xf numFmtId="1" fontId="10" fillId="0" borderId="0" xfId="0" applyNumberFormat="1" applyFont="1" applyAlignment="1" applyProtection="1">
      <alignment horizontal="center"/>
      <protection locked="0" hidden="1"/>
    </xf>
    <xf numFmtId="0" fontId="68" fillId="0" borderId="0" xfId="0" applyFont="1" applyProtection="1">
      <protection locked="0" hidden="1"/>
    </xf>
    <xf numFmtId="0" fontId="68" fillId="0" borderId="0" xfId="0" applyFont="1" applyAlignment="1" applyProtection="1">
      <alignment vertical="center" wrapText="1" shrinkToFit="1"/>
      <protection locked="0" hidden="1"/>
    </xf>
    <xf numFmtId="0" fontId="68" fillId="0" borderId="0" xfId="0" applyFont="1" applyAlignment="1" applyProtection="1">
      <alignment vertical="center"/>
      <protection locked="0" hidden="1"/>
    </xf>
    <xf numFmtId="0" fontId="0" fillId="4" borderId="0" xfId="0" applyFill="1" applyProtection="1">
      <protection locked="0" hidden="1"/>
    </xf>
    <xf numFmtId="0" fontId="13" fillId="0" borderId="17" xfId="0" applyFont="1" applyBorder="1" applyProtection="1">
      <protection hidden="1"/>
    </xf>
    <xf numFmtId="1" fontId="101" fillId="39" borderId="1" xfId="0" applyNumberFormat="1" applyFont="1" applyFill="1" applyBorder="1" applyAlignment="1" applyProtection="1">
      <alignment horizontal="center"/>
      <protection hidden="1"/>
    </xf>
    <xf numFmtId="2" fontId="101" fillId="39" borderId="1" xfId="0" applyNumberFormat="1" applyFont="1" applyFill="1" applyBorder="1" applyAlignment="1" applyProtection="1">
      <alignment horizontal="center"/>
      <protection hidden="1"/>
    </xf>
    <xf numFmtId="0" fontId="66" fillId="0" borderId="89" xfId="0" applyFont="1" applyBorder="1" applyAlignment="1" applyProtection="1">
      <alignment horizontal="center"/>
      <protection locked="0" hidden="1"/>
    </xf>
    <xf numFmtId="0" fontId="66" fillId="0" borderId="1" xfId="0" applyFont="1" applyBorder="1" applyAlignment="1" applyProtection="1">
      <alignment horizontal="center"/>
      <protection locked="0" hidden="1"/>
    </xf>
    <xf numFmtId="0" fontId="66" fillId="0" borderId="90" xfId="0" applyFont="1" applyBorder="1" applyAlignment="1" applyProtection="1">
      <alignment horizontal="center"/>
      <protection locked="0" hidden="1"/>
    </xf>
    <xf numFmtId="167" fontId="0" fillId="0" borderId="1" xfId="0" applyNumberFormat="1" applyBorder="1" applyAlignment="1" applyProtection="1">
      <alignment horizontal="center"/>
      <protection locked="0" hidden="1"/>
    </xf>
    <xf numFmtId="164" fontId="0" fillId="0" borderId="1" xfId="0" applyNumberFormat="1" applyBorder="1" applyAlignment="1" applyProtection="1">
      <alignment horizontal="center"/>
      <protection locked="0" hidden="1"/>
    </xf>
    <xf numFmtId="0" fontId="16" fillId="0" borderId="10" xfId="0" applyFont="1" applyBorder="1" applyProtection="1">
      <protection hidden="1"/>
    </xf>
    <xf numFmtId="0" fontId="0" fillId="0" borderId="32" xfId="0" applyBorder="1" applyAlignment="1" applyProtection="1">
      <alignment horizontal="center"/>
      <protection locked="0"/>
    </xf>
    <xf numFmtId="1" fontId="3" fillId="0" borderId="0" xfId="0" applyNumberFormat="1" applyFont="1" applyProtection="1">
      <protection hidden="1"/>
    </xf>
    <xf numFmtId="0" fontId="0" fillId="0" borderId="0" xfId="0" applyAlignment="1">
      <alignment horizontal="center" vertical="center"/>
    </xf>
    <xf numFmtId="0" fontId="68" fillId="29" borderId="4" xfId="0" applyFont="1" applyFill="1" applyBorder="1"/>
    <xf numFmtId="0" fontId="0" fillId="29" borderId="6" xfId="0" applyFill="1" applyBorder="1"/>
    <xf numFmtId="0" fontId="68" fillId="29" borderId="9" xfId="0" applyFont="1" applyFill="1" applyBorder="1"/>
    <xf numFmtId="0" fontId="79" fillId="0" borderId="0" xfId="0" applyFont="1" applyProtection="1">
      <protection locked="0"/>
    </xf>
    <xf numFmtId="0" fontId="70" fillId="29" borderId="4" xfId="0" applyFont="1" applyFill="1" applyBorder="1"/>
    <xf numFmtId="0" fontId="68" fillId="29" borderId="5" xfId="0" applyFont="1" applyFill="1" applyBorder="1"/>
    <xf numFmtId="0" fontId="68" fillId="0" borderId="6" xfId="0" applyFont="1" applyBorder="1"/>
    <xf numFmtId="0" fontId="8" fillId="0" borderId="17" xfId="0" applyFont="1" applyBorder="1"/>
    <xf numFmtId="0" fontId="0" fillId="0" borderId="18" xfId="0" applyBorder="1" applyProtection="1">
      <protection locked="0"/>
    </xf>
    <xf numFmtId="0" fontId="0" fillId="0" borderId="10" xfId="0" applyBorder="1" applyProtection="1">
      <protection locked="0"/>
    </xf>
    <xf numFmtId="0" fontId="68" fillId="0" borderId="10" xfId="0" applyFont="1" applyBorder="1"/>
    <xf numFmtId="0" fontId="121" fillId="0" borderId="9" xfId="0" applyFont="1" applyBorder="1" applyAlignment="1" applyProtection="1">
      <alignment horizontal="center"/>
      <protection locked="0"/>
    </xf>
    <xf numFmtId="0" fontId="0" fillId="29" borderId="9" xfId="0" applyFill="1" applyBorder="1"/>
    <xf numFmtId="167" fontId="74" fillId="36" borderId="30" xfId="0" applyNumberFormat="1" applyFont="1" applyFill="1" applyBorder="1" applyProtection="1">
      <protection hidden="1"/>
    </xf>
    <xf numFmtId="1" fontId="109" fillId="36" borderId="32" xfId="0" applyNumberFormat="1" applyFont="1" applyFill="1" applyBorder="1" applyProtection="1">
      <protection hidden="1"/>
    </xf>
    <xf numFmtId="1" fontId="74" fillId="0" borderId="0" xfId="0" applyNumberFormat="1" applyFont="1" applyProtection="1">
      <protection hidden="1"/>
    </xf>
    <xf numFmtId="0" fontId="44" fillId="0" borderId="0" xfId="0" applyFont="1"/>
    <xf numFmtId="0" fontId="48" fillId="0" borderId="0" xfId="0" applyFont="1" applyAlignment="1">
      <alignment vertical="center" wrapText="1"/>
    </xf>
    <xf numFmtId="0" fontId="0" fillId="0" borderId="0" xfId="0" applyAlignment="1">
      <alignment vertical="center"/>
    </xf>
    <xf numFmtId="0" fontId="26" fillId="0" borderId="0" xfId="0" applyFont="1" applyAlignment="1">
      <alignment vertical="top" wrapText="1"/>
    </xf>
    <xf numFmtId="0" fontId="0" fillId="0" borderId="0" xfId="0" applyAlignment="1" applyProtection="1">
      <alignment vertical="center"/>
      <protection hidden="1"/>
    </xf>
    <xf numFmtId="0" fontId="105" fillId="36" borderId="32" xfId="0" applyFont="1" applyFill="1" applyBorder="1" applyProtection="1">
      <protection hidden="1"/>
    </xf>
    <xf numFmtId="0" fontId="95" fillId="36" borderId="32" xfId="0" applyFont="1" applyFill="1" applyBorder="1" applyProtection="1">
      <protection hidden="1"/>
    </xf>
    <xf numFmtId="0" fontId="106" fillId="36" borderId="32" xfId="0" applyFont="1" applyFill="1" applyBorder="1" applyAlignment="1" applyProtection="1">
      <alignment horizontal="left"/>
      <protection hidden="1"/>
    </xf>
    <xf numFmtId="0" fontId="106" fillId="36" borderId="32" xfId="0" applyFont="1" applyFill="1" applyBorder="1" applyProtection="1">
      <protection hidden="1"/>
    </xf>
    <xf numFmtId="0" fontId="109" fillId="36" borderId="45" xfId="0" applyFont="1" applyFill="1" applyBorder="1" applyProtection="1">
      <protection hidden="1"/>
    </xf>
    <xf numFmtId="0" fontId="69" fillId="0" borderId="0" xfId="0" applyFont="1"/>
    <xf numFmtId="2" fontId="16" fillId="0" borderId="0" xfId="0" applyNumberFormat="1" applyFont="1" applyAlignment="1" applyProtection="1">
      <alignment horizontal="center"/>
      <protection hidden="1"/>
    </xf>
    <xf numFmtId="0" fontId="94" fillId="0" borderId="0" xfId="0" applyFont="1" applyProtection="1">
      <protection locked="0" hidden="1"/>
    </xf>
    <xf numFmtId="167" fontId="74" fillId="0" borderId="0" xfId="0" applyNumberFormat="1" applyFont="1" applyAlignment="1" applyProtection="1">
      <alignment horizontal="right"/>
      <protection hidden="1"/>
    </xf>
    <xf numFmtId="0" fontId="74" fillId="0" borderId="0" xfId="0" applyFont="1" applyAlignment="1" applyProtection="1">
      <alignment horizontal="left"/>
      <protection hidden="1"/>
    </xf>
    <xf numFmtId="167" fontId="74" fillId="0" borderId="0" xfId="0" applyNumberFormat="1" applyFont="1" applyProtection="1">
      <protection hidden="1"/>
    </xf>
    <xf numFmtId="167" fontId="13" fillId="0" borderId="0" xfId="0" applyNumberFormat="1" applyFont="1" applyProtection="1">
      <protection hidden="1"/>
    </xf>
    <xf numFmtId="167" fontId="120" fillId="0" borderId="0" xfId="0" applyNumberFormat="1" applyFont="1" applyProtection="1">
      <protection hidden="1"/>
    </xf>
    <xf numFmtId="2" fontId="13" fillId="0" borderId="0" xfId="0" applyNumberFormat="1" applyFont="1" applyProtection="1">
      <protection hidden="1"/>
    </xf>
    <xf numFmtId="0" fontId="74" fillId="0" borderId="0" xfId="0" applyFont="1" applyAlignment="1" applyProtection="1">
      <alignment horizontal="center"/>
      <protection hidden="1"/>
    </xf>
    <xf numFmtId="2" fontId="95" fillId="0" borderId="0" xfId="0" applyNumberFormat="1" applyFont="1" applyAlignment="1" applyProtection="1">
      <alignment horizontal="center"/>
      <protection hidden="1"/>
    </xf>
    <xf numFmtId="0" fontId="94" fillId="0" borderId="0" xfId="0" applyFont="1" applyAlignment="1" applyProtection="1">
      <alignment horizontal="right"/>
      <protection locked="0" hidden="1"/>
    </xf>
    <xf numFmtId="167" fontId="96" fillId="0" borderId="0" xfId="0" applyNumberFormat="1" applyFont="1" applyProtection="1">
      <protection hidden="1"/>
    </xf>
    <xf numFmtId="2" fontId="74" fillId="0" borderId="0" xfId="0" applyNumberFormat="1" applyFont="1" applyAlignment="1" applyProtection="1">
      <alignment horizontal="center"/>
      <protection hidden="1"/>
    </xf>
    <xf numFmtId="0" fontId="85" fillId="0" borderId="0" xfId="0" applyFont="1" applyAlignment="1" applyProtection="1">
      <alignment horizontal="right" vertical="center"/>
      <protection hidden="1"/>
    </xf>
    <xf numFmtId="0" fontId="86"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0" fillId="0" borderId="0" xfId="0" applyAlignment="1" applyProtection="1">
      <alignment horizontal="center" vertical="center"/>
      <protection locked="0" hidden="1"/>
    </xf>
    <xf numFmtId="0" fontId="85" fillId="0" borderId="0" xfId="0" applyFont="1" applyProtection="1">
      <protection hidden="1"/>
    </xf>
    <xf numFmtId="2" fontId="0" fillId="0" borderId="0" xfId="0" applyNumberFormat="1" applyAlignment="1" applyProtection="1">
      <alignment horizontal="center" vertical="center"/>
      <protection hidden="1"/>
    </xf>
    <xf numFmtId="0" fontId="85"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68" fillId="8" borderId="32" xfId="0" applyFont="1" applyFill="1" applyBorder="1" applyAlignment="1" applyProtection="1">
      <alignment horizontal="center"/>
      <protection hidden="1"/>
    </xf>
    <xf numFmtId="0" fontId="68" fillId="8" borderId="3" xfId="0" applyFont="1" applyFill="1" applyBorder="1" applyAlignment="1" applyProtection="1">
      <alignment horizontal="center"/>
      <protection hidden="1"/>
    </xf>
    <xf numFmtId="0" fontId="9" fillId="29" borderId="2" xfId="0" applyFont="1" applyFill="1" applyBorder="1" applyAlignment="1" applyProtection="1">
      <alignment horizontal="center" vertical="center"/>
      <protection hidden="1"/>
    </xf>
    <xf numFmtId="0" fontId="9" fillId="29" borderId="1" xfId="0" applyFont="1" applyFill="1" applyBorder="1" applyAlignment="1" applyProtection="1">
      <alignment horizontal="center" vertical="center"/>
      <protection hidden="1"/>
    </xf>
    <xf numFmtId="0" fontId="1" fillId="35" borderId="0" xfId="0" applyFont="1" applyFill="1" applyAlignment="1" applyProtection="1">
      <alignment horizontal="center" vertical="center" wrapText="1"/>
      <protection hidden="1"/>
    </xf>
    <xf numFmtId="0" fontId="1" fillId="35" borderId="1" xfId="0" applyFont="1" applyFill="1" applyBorder="1" applyAlignment="1" applyProtection="1">
      <alignment horizontal="center" vertical="center" wrapText="1"/>
      <protection hidden="1"/>
    </xf>
    <xf numFmtId="0" fontId="43" fillId="35" borderId="0" xfId="0" applyFont="1" applyFill="1" applyAlignment="1" applyProtection="1">
      <alignment horizontal="center" vertical="center" wrapText="1"/>
      <protection hidden="1"/>
    </xf>
    <xf numFmtId="0" fontId="43" fillId="35" borderId="1" xfId="0" applyFont="1" applyFill="1" applyBorder="1" applyAlignment="1" applyProtection="1">
      <alignment horizontal="center" vertical="center" wrapText="1"/>
      <protection hidden="1"/>
    </xf>
    <xf numFmtId="0" fontId="13" fillId="17" borderId="27" xfId="0" applyFont="1" applyFill="1" applyBorder="1" applyAlignment="1" applyProtection="1">
      <alignment horizontal="center" vertical="center"/>
      <protection hidden="1"/>
    </xf>
    <xf numFmtId="0" fontId="13" fillId="17" borderId="1" xfId="0" applyFont="1" applyFill="1" applyBorder="1" applyAlignment="1" applyProtection="1">
      <alignment horizontal="center" vertical="center"/>
      <protection hidden="1"/>
    </xf>
    <xf numFmtId="0" fontId="13" fillId="17" borderId="2" xfId="0" applyFont="1" applyFill="1" applyBorder="1" applyAlignment="1" applyProtection="1">
      <alignment horizontal="center" vertical="center"/>
      <protection hidden="1"/>
    </xf>
    <xf numFmtId="0" fontId="0" fillId="35" borderId="27" xfId="0" applyFill="1" applyBorder="1" applyAlignment="1" applyProtection="1">
      <alignment horizontal="center" vertical="center"/>
      <protection hidden="1"/>
    </xf>
    <xf numFmtId="0" fontId="0" fillId="35" borderId="1" xfId="0" applyFill="1" applyBorder="1" applyAlignment="1" applyProtection="1">
      <alignment horizontal="center" vertical="center"/>
      <protection hidden="1"/>
    </xf>
    <xf numFmtId="0" fontId="0" fillId="35" borderId="2" xfId="0" applyFill="1" applyBorder="1" applyAlignment="1" applyProtection="1">
      <alignment horizontal="center" vertical="center"/>
      <protection hidden="1"/>
    </xf>
    <xf numFmtId="0" fontId="0" fillId="35" borderId="27" xfId="0" applyFill="1" applyBorder="1" applyAlignment="1" applyProtection="1">
      <alignment horizontal="center"/>
      <protection hidden="1"/>
    </xf>
    <xf numFmtId="0" fontId="0" fillId="35" borderId="2" xfId="0" applyFill="1" applyBorder="1" applyAlignment="1" applyProtection="1">
      <alignment horizontal="center"/>
      <protection hidden="1"/>
    </xf>
    <xf numFmtId="0" fontId="0" fillId="35" borderId="28" xfId="0" applyFill="1" applyBorder="1" applyAlignment="1" applyProtection="1">
      <alignment horizontal="center"/>
      <protection hidden="1"/>
    </xf>
    <xf numFmtId="2" fontId="9" fillId="29" borderId="27" xfId="0" applyNumberFormat="1" applyFont="1" applyFill="1" applyBorder="1" applyAlignment="1" applyProtection="1">
      <alignment horizontal="center" vertical="center"/>
      <protection hidden="1"/>
    </xf>
    <xf numFmtId="2" fontId="9" fillId="29" borderId="1" xfId="0" applyNumberFormat="1" applyFont="1" applyFill="1" applyBorder="1" applyAlignment="1" applyProtection="1">
      <alignment horizontal="center" vertical="center"/>
      <protection hidden="1"/>
    </xf>
    <xf numFmtId="2" fontId="9" fillId="29" borderId="2" xfId="0" applyNumberFormat="1" applyFont="1" applyFill="1" applyBorder="1" applyAlignment="1" applyProtection="1">
      <alignment horizontal="center" vertical="center"/>
      <protection hidden="1"/>
    </xf>
    <xf numFmtId="0" fontId="0" fillId="35" borderId="15" xfId="0" applyFill="1" applyBorder="1" applyAlignment="1" applyProtection="1">
      <alignment horizontal="center"/>
      <protection hidden="1"/>
    </xf>
    <xf numFmtId="0" fontId="0" fillId="35" borderId="55" xfId="0" applyFill="1" applyBorder="1" applyAlignment="1" applyProtection="1">
      <alignment horizontal="center"/>
      <protection hidden="1"/>
    </xf>
    <xf numFmtId="0" fontId="0" fillId="35" borderId="68" xfId="0" applyFill="1" applyBorder="1" applyAlignment="1" applyProtection="1">
      <alignment horizontal="center"/>
      <protection hidden="1"/>
    </xf>
    <xf numFmtId="0" fontId="0" fillId="35" borderId="47" xfId="0" applyFill="1" applyBorder="1" applyAlignment="1" applyProtection="1">
      <alignment horizontal="center"/>
      <protection hidden="1"/>
    </xf>
    <xf numFmtId="0" fontId="1" fillId="35" borderId="2" xfId="0" applyFont="1" applyFill="1" applyBorder="1" applyAlignment="1" applyProtection="1">
      <alignment horizontal="center" vertical="center" wrapText="1"/>
      <protection hidden="1"/>
    </xf>
    <xf numFmtId="165" fontId="68" fillId="8" borderId="32" xfId="0" applyNumberFormat="1" applyFont="1" applyFill="1" applyBorder="1" applyAlignment="1" applyProtection="1">
      <alignment horizontal="center"/>
      <protection hidden="1"/>
    </xf>
    <xf numFmtId="165" fontId="68" fillId="8" borderId="3" xfId="0" applyNumberFormat="1" applyFont="1" applyFill="1" applyBorder="1" applyAlignment="1" applyProtection="1">
      <alignment horizontal="center"/>
      <protection hidden="1"/>
    </xf>
    <xf numFmtId="165" fontId="68" fillId="8" borderId="40" xfId="0" applyNumberFormat="1" applyFont="1" applyFill="1" applyBorder="1" applyAlignment="1" applyProtection="1">
      <alignment horizontal="center"/>
      <protection hidden="1"/>
    </xf>
    <xf numFmtId="165" fontId="68" fillId="8" borderId="39" xfId="0" applyNumberFormat="1" applyFont="1" applyFill="1" applyBorder="1" applyAlignment="1" applyProtection="1">
      <alignment horizontal="center"/>
      <protection hidden="1"/>
    </xf>
    <xf numFmtId="165" fontId="68" fillId="8" borderId="1" xfId="0" applyNumberFormat="1" applyFont="1" applyFill="1" applyBorder="1" applyAlignment="1" applyProtection="1">
      <alignment horizontal="center"/>
      <protection hidden="1"/>
    </xf>
    <xf numFmtId="165" fontId="68" fillId="8" borderId="83" xfId="0" applyNumberFormat="1" applyFont="1" applyFill="1" applyBorder="1" applyAlignment="1" applyProtection="1">
      <alignment horizontal="center"/>
      <protection hidden="1"/>
    </xf>
    <xf numFmtId="169" fontId="68" fillId="8" borderId="1" xfId="0" applyNumberFormat="1" applyFont="1" applyFill="1" applyBorder="1" applyAlignment="1" applyProtection="1">
      <alignment horizontal="center"/>
      <protection hidden="1"/>
    </xf>
    <xf numFmtId="169" fontId="68" fillId="8" borderId="83" xfId="0" applyNumberFormat="1" applyFont="1" applyFill="1" applyBorder="1" applyAlignment="1" applyProtection="1">
      <alignment horizontal="center"/>
      <protection hidden="1"/>
    </xf>
    <xf numFmtId="0" fontId="68" fillId="8" borderId="40" xfId="0" applyFont="1" applyFill="1" applyBorder="1" applyAlignment="1" applyProtection="1">
      <alignment horizontal="center"/>
      <protection hidden="1"/>
    </xf>
    <xf numFmtId="0" fontId="68" fillId="8" borderId="39" xfId="0" applyFont="1" applyFill="1" applyBorder="1" applyAlignment="1" applyProtection="1">
      <alignment horizontal="center"/>
      <protection hidden="1"/>
    </xf>
    <xf numFmtId="0" fontId="0" fillId="35" borderId="27" xfId="0" applyFill="1" applyBorder="1" applyAlignment="1">
      <alignment horizontal="center"/>
    </xf>
    <xf numFmtId="0" fontId="0" fillId="35" borderId="1" xfId="0" applyFill="1" applyBorder="1" applyAlignment="1">
      <alignment horizontal="center"/>
    </xf>
    <xf numFmtId="0" fontId="0" fillId="35" borderId="2" xfId="0" applyFill="1" applyBorder="1" applyAlignment="1">
      <alignment horizontal="center"/>
    </xf>
    <xf numFmtId="0" fontId="0" fillId="7" borderId="1" xfId="0" applyFill="1" applyBorder="1" applyAlignment="1">
      <alignment horizontal="center"/>
    </xf>
    <xf numFmtId="0" fontId="9" fillId="7" borderId="22" xfId="0" applyFont="1" applyFill="1" applyBorder="1" applyAlignment="1" applyProtection="1">
      <alignment horizontal="center"/>
      <protection locked="0" hidden="1"/>
    </xf>
    <xf numFmtId="0" fontId="9" fillId="7" borderId="24" xfId="0" applyFont="1" applyFill="1" applyBorder="1" applyAlignment="1" applyProtection="1">
      <alignment horizontal="center"/>
      <protection locked="0" hidden="1"/>
    </xf>
    <xf numFmtId="0" fontId="9" fillId="7" borderId="44" xfId="0" applyFont="1" applyFill="1" applyBorder="1" applyAlignment="1" applyProtection="1">
      <alignment horizontal="center"/>
      <protection locked="0" hidden="1"/>
    </xf>
    <xf numFmtId="0" fontId="9" fillId="7" borderId="86" xfId="0" applyFont="1" applyFill="1" applyBorder="1" applyAlignment="1" applyProtection="1">
      <alignment horizontal="center"/>
      <protection locked="0" hidden="1"/>
    </xf>
    <xf numFmtId="0" fontId="9" fillId="7" borderId="85" xfId="0" applyFont="1" applyFill="1" applyBorder="1" applyAlignment="1" applyProtection="1">
      <alignment horizontal="center"/>
      <protection locked="0" hidden="1"/>
    </xf>
    <xf numFmtId="165" fontId="9" fillId="7" borderId="2" xfId="0" applyNumberFormat="1" applyFont="1" applyFill="1" applyBorder="1" applyAlignment="1" applyProtection="1">
      <alignment horizontal="center" vertical="center"/>
      <protection hidden="1"/>
    </xf>
    <xf numFmtId="0" fontId="9" fillId="7" borderId="2" xfId="0" applyFont="1" applyFill="1" applyBorder="1" applyAlignment="1" applyProtection="1">
      <alignment horizontal="center" vertical="center"/>
      <protection hidden="1"/>
    </xf>
    <xf numFmtId="165" fontId="0" fillId="7" borderId="27" xfId="0" applyNumberFormat="1" applyFill="1" applyBorder="1" applyAlignment="1" applyProtection="1">
      <alignment horizontal="center" vertical="center" wrapText="1"/>
      <protection hidden="1"/>
    </xf>
    <xf numFmtId="165" fontId="9" fillId="7" borderId="1" xfId="0" applyNumberFormat="1" applyFont="1" applyFill="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165" fontId="0" fillId="7" borderId="1" xfId="0" applyNumberFormat="1" applyFill="1" applyBorder="1" applyAlignment="1" applyProtection="1">
      <alignment horizontal="center" vertical="center" wrapText="1"/>
      <protection hidden="1"/>
    </xf>
    <xf numFmtId="165" fontId="9" fillId="7" borderId="26" xfId="0" applyNumberFormat="1" applyFont="1" applyFill="1" applyBorder="1" applyAlignment="1" applyProtection="1">
      <alignment horizontal="center" vertical="center"/>
      <protection hidden="1"/>
    </xf>
    <xf numFmtId="165" fontId="122" fillId="7" borderId="2" xfId="0" applyNumberFormat="1" applyFont="1" applyFill="1" applyBorder="1" applyAlignment="1" applyProtection="1">
      <alignment horizontal="center" vertical="center"/>
      <protection hidden="1"/>
    </xf>
    <xf numFmtId="0" fontId="122" fillId="7" borderId="2" xfId="0" applyFont="1" applyFill="1" applyBorder="1" applyAlignment="1" applyProtection="1">
      <alignment horizontal="center" vertical="center"/>
      <protection hidden="1"/>
    </xf>
    <xf numFmtId="165" fontId="13" fillId="7" borderId="27" xfId="0" applyNumberFormat="1" applyFont="1" applyFill="1" applyBorder="1" applyAlignment="1" applyProtection="1">
      <alignment horizontal="center" vertical="center" wrapText="1"/>
      <protection hidden="1"/>
    </xf>
    <xf numFmtId="165" fontId="122" fillId="7" borderId="1" xfId="0" applyNumberFormat="1" applyFont="1" applyFill="1" applyBorder="1" applyAlignment="1" applyProtection="1">
      <alignment horizontal="center" vertical="center"/>
      <protection hidden="1"/>
    </xf>
    <xf numFmtId="0" fontId="122" fillId="7" borderId="1" xfId="0" applyFont="1" applyFill="1" applyBorder="1" applyAlignment="1" applyProtection="1">
      <alignment horizontal="center" vertical="center"/>
      <protection hidden="1"/>
    </xf>
    <xf numFmtId="165" fontId="13" fillId="7" borderId="1" xfId="0" applyNumberFormat="1" applyFont="1" applyFill="1" applyBorder="1" applyAlignment="1" applyProtection="1">
      <alignment horizontal="center" vertical="center" wrapText="1"/>
      <protection hidden="1"/>
    </xf>
    <xf numFmtId="165" fontId="0" fillId="7" borderId="34" xfId="0" applyNumberFormat="1" applyFill="1" applyBorder="1" applyAlignment="1" applyProtection="1">
      <alignment horizontal="center" vertical="center"/>
      <protection hidden="1"/>
    </xf>
    <xf numFmtId="165" fontId="0" fillId="7" borderId="32" xfId="0" applyNumberFormat="1" applyFill="1" applyBorder="1" applyAlignment="1" applyProtection="1">
      <alignment horizontal="center" vertical="center"/>
      <protection hidden="1"/>
    </xf>
    <xf numFmtId="166" fontId="0" fillId="7" borderId="27" xfId="0" applyNumberFormat="1" applyFill="1" applyBorder="1" applyAlignment="1" applyProtection="1">
      <alignment horizontal="center"/>
      <protection hidden="1"/>
    </xf>
    <xf numFmtId="166" fontId="0" fillId="7" borderId="0" xfId="0" applyNumberFormat="1" applyFill="1" applyAlignment="1" applyProtection="1">
      <alignment horizontal="center"/>
      <protection hidden="1"/>
    </xf>
    <xf numFmtId="165" fontId="0" fillId="7" borderId="2" xfId="0" applyNumberFormat="1" applyFill="1" applyBorder="1" applyAlignment="1">
      <alignment horizontal="center"/>
    </xf>
    <xf numFmtId="0" fontId="0" fillId="7" borderId="2" xfId="0" applyFill="1" applyBorder="1" applyAlignment="1">
      <alignment horizontal="center"/>
    </xf>
    <xf numFmtId="166" fontId="0" fillId="7" borderId="1" xfId="0" applyNumberFormat="1" applyFill="1" applyBorder="1" applyAlignment="1" applyProtection="1">
      <alignment horizontal="center"/>
      <protection hidden="1"/>
    </xf>
    <xf numFmtId="166" fontId="0" fillId="7" borderId="3" xfId="0" applyNumberFormat="1" applyFill="1" applyBorder="1" applyAlignment="1" applyProtection="1">
      <alignment horizontal="center"/>
      <protection hidden="1"/>
    </xf>
    <xf numFmtId="166" fontId="0" fillId="7" borderId="28" xfId="0" applyNumberFormat="1" applyFill="1" applyBorder="1" applyAlignment="1" applyProtection="1">
      <alignment horizontal="center"/>
      <protection hidden="1"/>
    </xf>
    <xf numFmtId="0" fontId="0" fillId="7" borderId="26" xfId="0" applyFill="1" applyBorder="1" applyAlignment="1">
      <alignment horizontal="center"/>
    </xf>
    <xf numFmtId="166" fontId="0" fillId="7" borderId="28" xfId="0" applyNumberFormat="1" applyFill="1" applyBorder="1" applyAlignment="1">
      <alignment horizontal="center"/>
    </xf>
    <xf numFmtId="166" fontId="0" fillId="7" borderId="25" xfId="0" applyNumberFormat="1" applyFill="1" applyBorder="1" applyAlignment="1" applyProtection="1">
      <alignment horizontal="center"/>
      <protection hidden="1"/>
    </xf>
    <xf numFmtId="166" fontId="0" fillId="7" borderId="1" xfId="0" applyNumberFormat="1" applyFill="1" applyBorder="1" applyAlignment="1">
      <alignment horizontal="center"/>
    </xf>
    <xf numFmtId="166" fontId="0" fillId="7" borderId="2" xfId="0" applyNumberFormat="1" applyFill="1" applyBorder="1" applyAlignment="1" applyProtection="1">
      <alignment horizontal="center"/>
      <protection hidden="1"/>
    </xf>
    <xf numFmtId="166" fontId="0" fillId="7" borderId="2" xfId="0" applyNumberFormat="1" applyFill="1" applyBorder="1" applyAlignment="1">
      <alignment horizontal="center"/>
    </xf>
    <xf numFmtId="1" fontId="9" fillId="7" borderId="27" xfId="0" applyNumberFormat="1" applyFont="1" applyFill="1" applyBorder="1" applyAlignment="1" applyProtection="1">
      <alignment horizontal="center" vertical="center"/>
      <protection hidden="1"/>
    </xf>
    <xf numFmtId="1" fontId="9" fillId="7" borderId="1" xfId="0" applyNumberFormat="1" applyFont="1" applyFill="1" applyBorder="1" applyAlignment="1" applyProtection="1">
      <alignment horizontal="center" vertical="center"/>
      <protection hidden="1"/>
    </xf>
    <xf numFmtId="1" fontId="9" fillId="7" borderId="2" xfId="0" applyNumberFormat="1" applyFont="1" applyFill="1" applyBorder="1" applyAlignment="1" applyProtection="1">
      <alignment horizontal="center" vertical="center"/>
      <protection hidden="1"/>
    </xf>
    <xf numFmtId="165" fontId="0" fillId="7" borderId="2" xfId="0" applyNumberFormat="1" applyFill="1" applyBorder="1" applyAlignment="1" applyProtection="1">
      <alignment horizontal="center" vertical="center" wrapText="1"/>
      <protection hidden="1"/>
    </xf>
    <xf numFmtId="2" fontId="9" fillId="7" borderId="27" xfId="0" applyNumberFormat="1" applyFont="1" applyFill="1" applyBorder="1" applyAlignment="1" applyProtection="1">
      <alignment horizontal="center" vertical="center"/>
      <protection hidden="1"/>
    </xf>
    <xf numFmtId="2" fontId="9" fillId="7" borderId="1" xfId="0" applyNumberFormat="1" applyFont="1" applyFill="1" applyBorder="1" applyAlignment="1" applyProtection="1">
      <alignment horizontal="center" vertical="center"/>
      <protection hidden="1"/>
    </xf>
    <xf numFmtId="2" fontId="9" fillId="7" borderId="2" xfId="0" applyNumberFormat="1" applyFont="1" applyFill="1" applyBorder="1" applyAlignment="1" applyProtection="1">
      <alignment horizontal="center" vertical="center"/>
      <protection hidden="1"/>
    </xf>
    <xf numFmtId="166" fontId="9" fillId="7" borderId="2" xfId="0" applyNumberFormat="1" applyFont="1" applyFill="1" applyBorder="1" applyAlignment="1" applyProtection="1">
      <alignment horizontal="center" vertical="center"/>
      <protection hidden="1"/>
    </xf>
    <xf numFmtId="166" fontId="9" fillId="7" borderId="1" xfId="0" applyNumberFormat="1" applyFont="1" applyFill="1" applyBorder="1" applyAlignment="1" applyProtection="1">
      <alignment horizontal="center" vertical="center"/>
      <protection hidden="1"/>
    </xf>
    <xf numFmtId="165" fontId="0" fillId="7" borderId="25" xfId="0" applyNumberFormat="1" applyFill="1" applyBorder="1" applyAlignment="1" applyProtection="1">
      <alignment horizontal="center" vertical="center" wrapText="1"/>
      <protection hidden="1"/>
    </xf>
    <xf numFmtId="166" fontId="0" fillId="7" borderId="41" xfId="0" applyNumberFormat="1" applyFill="1" applyBorder="1" applyAlignment="1" applyProtection="1">
      <alignment horizontal="center"/>
      <protection locked="0"/>
    </xf>
    <xf numFmtId="166" fontId="0" fillId="7" borderId="26" xfId="0" applyNumberFormat="1" applyFill="1" applyBorder="1" applyAlignment="1" applyProtection="1">
      <alignment horizontal="center"/>
      <protection hidden="1"/>
    </xf>
    <xf numFmtId="172" fontId="0" fillId="7" borderId="46" xfId="0" applyNumberFormat="1" applyFill="1" applyBorder="1" applyAlignment="1" applyProtection="1">
      <alignment horizontal="center"/>
      <protection hidden="1"/>
    </xf>
    <xf numFmtId="166" fontId="0" fillId="7" borderId="33" xfId="0" applyNumberFormat="1" applyFill="1" applyBorder="1" applyAlignment="1" applyProtection="1">
      <alignment horizontal="center"/>
      <protection locked="0"/>
    </xf>
    <xf numFmtId="172" fontId="0" fillId="7" borderId="2" xfId="0" applyNumberFormat="1" applyFill="1" applyBorder="1" applyAlignment="1" applyProtection="1">
      <alignment horizontal="center"/>
      <protection hidden="1"/>
    </xf>
    <xf numFmtId="172" fontId="0" fillId="7" borderId="1" xfId="0" applyNumberFormat="1" applyFill="1" applyBorder="1" applyAlignment="1" applyProtection="1">
      <alignment horizontal="center"/>
      <protection hidden="1"/>
    </xf>
    <xf numFmtId="166" fontId="0" fillId="7" borderId="83" xfId="0" applyNumberFormat="1" applyFill="1" applyBorder="1" applyAlignment="1" applyProtection="1">
      <alignment horizontal="center"/>
      <protection hidden="1"/>
    </xf>
    <xf numFmtId="172" fontId="0" fillId="7" borderId="83" xfId="0" applyNumberFormat="1" applyFill="1" applyBorder="1" applyAlignment="1" applyProtection="1">
      <alignment horizontal="center"/>
      <protection hidden="1"/>
    </xf>
    <xf numFmtId="166" fontId="0" fillId="7" borderId="0" xfId="0" applyNumberFormat="1" applyFill="1" applyAlignment="1" applyProtection="1">
      <alignment horizontal="center"/>
      <protection locked="0"/>
    </xf>
    <xf numFmtId="166" fontId="0" fillId="7" borderId="1" xfId="0" applyNumberFormat="1" applyFill="1" applyBorder="1" applyAlignment="1" applyProtection="1">
      <alignment horizontal="center"/>
      <protection locked="0"/>
    </xf>
    <xf numFmtId="166" fontId="0" fillId="7" borderId="27" xfId="0" applyNumberFormat="1" applyFill="1" applyBorder="1" applyAlignment="1" applyProtection="1">
      <alignment horizontal="center"/>
      <protection locked="0" hidden="1"/>
    </xf>
    <xf numFmtId="172" fontId="0" fillId="7" borderId="17" xfId="0" applyNumberFormat="1" applyFill="1" applyBorder="1" applyAlignment="1" applyProtection="1">
      <alignment horizontal="center"/>
      <protection hidden="1"/>
    </xf>
    <xf numFmtId="166" fontId="0" fillId="7" borderId="1" xfId="0" applyNumberFormat="1" applyFill="1" applyBorder="1" applyAlignment="1" applyProtection="1">
      <alignment horizontal="center"/>
      <protection locked="0" hidden="1"/>
    </xf>
    <xf numFmtId="172" fontId="0" fillId="7" borderId="56" xfId="0" applyNumberFormat="1" applyFill="1" applyBorder="1" applyAlignment="1" applyProtection="1">
      <alignment horizontal="center"/>
      <protection hidden="1"/>
    </xf>
    <xf numFmtId="166" fontId="0" fillId="7" borderId="83" xfId="0" applyNumberFormat="1" applyFill="1" applyBorder="1" applyAlignment="1" applyProtection="1">
      <alignment horizontal="center"/>
      <protection locked="0" hidden="1"/>
    </xf>
    <xf numFmtId="172" fontId="0" fillId="7" borderId="84" xfId="0" applyNumberFormat="1" applyFill="1" applyBorder="1" applyAlignment="1" applyProtection="1">
      <alignment horizontal="center"/>
      <protection hidden="1"/>
    </xf>
    <xf numFmtId="166" fontId="0" fillId="7" borderId="28" xfId="0" applyNumberFormat="1" applyFill="1" applyBorder="1" applyAlignment="1" applyProtection="1">
      <alignment horizontal="center"/>
      <protection locked="0"/>
    </xf>
    <xf numFmtId="166" fontId="0" fillId="7" borderId="25" xfId="0" applyNumberFormat="1" applyFill="1" applyBorder="1" applyAlignment="1" applyProtection="1">
      <alignment horizontal="center"/>
      <protection locked="0"/>
    </xf>
    <xf numFmtId="166" fontId="0" fillId="7" borderId="2" xfId="0" applyNumberFormat="1" applyFill="1" applyBorder="1" applyAlignment="1" applyProtection="1">
      <alignment horizontal="center"/>
      <protection locked="0"/>
    </xf>
    <xf numFmtId="0" fontId="0" fillId="7" borderId="2" xfId="0" applyFill="1" applyBorder="1" applyAlignment="1" applyProtection="1">
      <alignment horizontal="center"/>
      <protection hidden="1"/>
    </xf>
    <xf numFmtId="165" fontId="0" fillId="7" borderId="2" xfId="0" applyNumberFormat="1" applyFill="1" applyBorder="1" applyAlignment="1" applyProtection="1">
      <alignment horizontal="center"/>
      <protection hidden="1"/>
    </xf>
    <xf numFmtId="2" fontId="0" fillId="7" borderId="2" xfId="0" applyNumberFormat="1" applyFill="1" applyBorder="1" applyAlignment="1" applyProtection="1">
      <alignment horizontal="center"/>
      <protection hidden="1"/>
    </xf>
    <xf numFmtId="1" fontId="0" fillId="7" borderId="2" xfId="0" applyNumberFormat="1" applyFill="1" applyBorder="1" applyAlignment="1" applyProtection="1">
      <alignment horizontal="center"/>
      <protection hidden="1"/>
    </xf>
    <xf numFmtId="0" fontId="0" fillId="7" borderId="1" xfId="0" applyFill="1" applyBorder="1" applyAlignment="1" applyProtection="1">
      <alignment horizontal="center"/>
      <protection hidden="1"/>
    </xf>
    <xf numFmtId="165" fontId="0" fillId="7" borderId="1" xfId="0" applyNumberFormat="1" applyFill="1" applyBorder="1" applyAlignment="1" applyProtection="1">
      <alignment horizontal="center"/>
      <protection hidden="1"/>
    </xf>
    <xf numFmtId="2" fontId="0" fillId="7" borderId="1" xfId="0" applyNumberFormat="1" applyFill="1" applyBorder="1" applyAlignment="1" applyProtection="1">
      <alignment horizontal="center"/>
      <protection hidden="1"/>
    </xf>
    <xf numFmtId="1" fontId="0" fillId="7" borderId="1" xfId="0" applyNumberFormat="1" applyFill="1" applyBorder="1" applyAlignment="1" applyProtection="1">
      <alignment horizontal="center"/>
      <protection hidden="1"/>
    </xf>
    <xf numFmtId="169" fontId="0" fillId="7" borderId="2" xfId="0" applyNumberFormat="1" applyFill="1" applyBorder="1" applyAlignment="1" applyProtection="1">
      <alignment horizontal="center"/>
      <protection hidden="1"/>
    </xf>
    <xf numFmtId="169" fontId="0" fillId="7" borderId="1" xfId="0" applyNumberFormat="1" applyFill="1" applyBorder="1" applyAlignment="1" applyProtection="1">
      <alignment horizontal="center"/>
      <protection hidden="1"/>
    </xf>
    <xf numFmtId="2" fontId="0" fillId="7" borderId="27" xfId="0" applyNumberFormat="1" applyFill="1" applyBorder="1" applyAlignment="1" applyProtection="1">
      <alignment horizontal="center"/>
      <protection hidden="1"/>
    </xf>
    <xf numFmtId="0" fontId="52" fillId="8" borderId="27" xfId="0" applyFont="1" applyFill="1" applyBorder="1" applyAlignment="1" applyProtection="1">
      <alignment horizontal="center"/>
      <protection hidden="1"/>
    </xf>
    <xf numFmtId="0" fontId="52" fillId="8" borderId="1" xfId="0" applyFont="1" applyFill="1" applyBorder="1" applyAlignment="1" applyProtection="1">
      <alignment horizontal="center"/>
      <protection hidden="1"/>
    </xf>
    <xf numFmtId="0" fontId="52" fillId="8" borderId="2" xfId="0" applyFont="1" applyFill="1" applyBorder="1" applyAlignment="1" applyProtection="1">
      <alignment horizontal="center"/>
      <protection hidden="1"/>
    </xf>
    <xf numFmtId="2" fontId="43" fillId="0" borderId="0" xfId="0" applyNumberFormat="1" applyFont="1" applyAlignment="1" applyProtection="1">
      <alignment horizontal="center"/>
      <protection hidden="1"/>
    </xf>
    <xf numFmtId="0" fontId="43" fillId="0" borderId="0" xfId="0" applyFont="1" applyAlignment="1" applyProtection="1">
      <alignment horizontal="center" vertical="center" wrapText="1"/>
      <protection hidden="1"/>
    </xf>
    <xf numFmtId="49" fontId="128" fillId="0" borderId="0" xfId="0" applyNumberFormat="1" applyFont="1" applyAlignment="1" applyProtection="1">
      <alignment horizontal="center" vertical="center"/>
      <protection hidden="1"/>
    </xf>
    <xf numFmtId="0" fontId="128" fillId="0" borderId="0" xfId="0" applyFont="1" applyAlignment="1" applyProtection="1">
      <alignment horizontal="center" vertical="center"/>
      <protection hidden="1"/>
    </xf>
    <xf numFmtId="0" fontId="122" fillId="0" borderId="0" xfId="0" applyFont="1" applyAlignment="1" applyProtection="1">
      <alignment horizontal="center" vertical="center"/>
      <protection hidden="1"/>
    </xf>
    <xf numFmtId="0" fontId="43" fillId="8" borderId="1" xfId="0" applyFont="1" applyFill="1" applyBorder="1" applyAlignment="1" applyProtection="1">
      <alignment horizontal="center" vertical="center" wrapText="1"/>
      <protection hidden="1"/>
    </xf>
    <xf numFmtId="0" fontId="129" fillId="0" borderId="0" xfId="0" applyFont="1" applyAlignment="1" applyProtection="1">
      <alignment horizontal="center" vertical="center"/>
      <protection hidden="1"/>
    </xf>
    <xf numFmtId="165" fontId="13" fillId="0" borderId="0" xfId="0" applyNumberFormat="1" applyFont="1"/>
    <xf numFmtId="0" fontId="130" fillId="38" borderId="0" xfId="0" applyFont="1" applyFill="1" applyAlignment="1">
      <alignment horizontal="center" vertical="center"/>
    </xf>
    <xf numFmtId="2" fontId="4" fillId="9" borderId="3" xfId="0" applyNumberFormat="1" applyFont="1" applyFill="1" applyBorder="1" applyAlignment="1" applyProtection="1">
      <alignment horizontal="center"/>
      <protection locked="0" hidden="1"/>
    </xf>
    <xf numFmtId="2" fontId="4" fillId="9" borderId="32" xfId="0" applyNumberFormat="1" applyFont="1" applyFill="1" applyBorder="1" applyAlignment="1" applyProtection="1">
      <alignment horizontal="center"/>
      <protection locked="0" hidden="1"/>
    </xf>
    <xf numFmtId="0" fontId="16" fillId="0" borderId="71" xfId="0" applyFont="1" applyBorder="1" applyAlignment="1" applyProtection="1">
      <alignment horizontal="center"/>
      <protection locked="0"/>
    </xf>
    <xf numFmtId="0" fontId="16" fillId="0" borderId="72" xfId="0" applyFont="1" applyBorder="1" applyAlignment="1" applyProtection="1">
      <alignment horizontal="center"/>
      <protection locked="0"/>
    </xf>
    <xf numFmtId="170" fontId="24" fillId="2" borderId="3" xfId="0" applyNumberFormat="1" applyFont="1" applyFill="1" applyBorder="1" applyAlignment="1" applyProtection="1">
      <alignment horizontal="center"/>
      <protection hidden="1"/>
    </xf>
    <xf numFmtId="170" fontId="24" fillId="2" borderId="32" xfId="0" applyNumberFormat="1" applyFont="1"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6" xfId="0" applyFill="1" applyBorder="1" applyAlignment="1" applyProtection="1">
      <alignment horizontal="center"/>
      <protection hidden="1"/>
    </xf>
    <xf numFmtId="2" fontId="6" fillId="2" borderId="3" xfId="0" applyNumberFormat="1" applyFont="1" applyFill="1" applyBorder="1" applyAlignment="1" applyProtection="1">
      <alignment horizontal="center"/>
      <protection hidden="1"/>
    </xf>
    <xf numFmtId="2" fontId="6" fillId="2" borderId="32" xfId="0" applyNumberFormat="1" applyFont="1" applyFill="1" applyBorder="1" applyAlignment="1" applyProtection="1">
      <alignment horizontal="center"/>
      <protection hidden="1"/>
    </xf>
    <xf numFmtId="0" fontId="1" fillId="3" borderId="4" xfId="0"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xf numFmtId="0" fontId="1" fillId="3" borderId="6" xfId="0" applyFont="1" applyFill="1" applyBorder="1" applyAlignment="1" applyProtection="1">
      <alignment horizontal="center"/>
      <protection hidden="1"/>
    </xf>
    <xf numFmtId="0" fontId="0" fillId="3" borderId="5" xfId="0" applyFill="1" applyBorder="1" applyAlignment="1" applyProtection="1">
      <alignment horizontal="center"/>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27" fillId="8" borderId="3" xfId="0" applyFont="1" applyFill="1" applyBorder="1" applyAlignment="1">
      <alignment horizontal="center"/>
    </xf>
    <xf numFmtId="0" fontId="27" fillId="8" borderId="12" xfId="0" applyFont="1" applyFill="1" applyBorder="1" applyAlignment="1">
      <alignment horizontal="center"/>
    </xf>
    <xf numFmtId="0" fontId="27" fillId="8" borderId="43" xfId="0" applyFont="1" applyFill="1" applyBorder="1" applyAlignment="1">
      <alignment horizontal="center"/>
    </xf>
    <xf numFmtId="0" fontId="26" fillId="8" borderId="3" xfId="0" applyFont="1" applyFill="1" applyBorder="1" applyAlignment="1" applyProtection="1">
      <alignment horizontal="center"/>
      <protection hidden="1"/>
    </xf>
    <xf numFmtId="0" fontId="26" fillId="8" borderId="12" xfId="0" applyFont="1" applyFill="1" applyBorder="1" applyAlignment="1" applyProtection="1">
      <alignment horizontal="center"/>
      <protection hidden="1"/>
    </xf>
    <xf numFmtId="0" fontId="26" fillId="8" borderId="43" xfId="0" applyFont="1" applyFill="1" applyBorder="1" applyAlignment="1" applyProtection="1">
      <alignment horizontal="center"/>
      <protection hidden="1"/>
    </xf>
    <xf numFmtId="0" fontId="0" fillId="0" borderId="29" xfId="0" applyBorder="1" applyAlignment="1" applyProtection="1">
      <alignment horizontal="center"/>
      <protection locked="0"/>
    </xf>
    <xf numFmtId="0" fontId="0" fillId="0" borderId="0" xfId="0" applyAlignment="1" applyProtection="1">
      <alignment horizontal="center"/>
      <protection locked="0"/>
    </xf>
    <xf numFmtId="2" fontId="24" fillId="2" borderId="3" xfId="0" applyNumberFormat="1" applyFont="1" applyFill="1" applyBorder="1" applyAlignment="1" applyProtection="1">
      <alignment horizontal="center"/>
      <protection hidden="1"/>
    </xf>
    <xf numFmtId="2" fontId="24" fillId="2" borderId="32" xfId="0" applyNumberFormat="1" applyFont="1" applyFill="1" applyBorder="1" applyAlignment="1" applyProtection="1">
      <alignment horizontal="center"/>
      <protection hidden="1"/>
    </xf>
    <xf numFmtId="0" fontId="0" fillId="0" borderId="3" xfId="0" applyBorder="1" applyAlignment="1" applyProtection="1">
      <alignment horizontal="center"/>
      <protection locked="0" hidden="1"/>
    </xf>
    <xf numFmtId="0" fontId="0" fillId="0" borderId="12" xfId="0" applyBorder="1" applyAlignment="1" applyProtection="1">
      <alignment horizontal="center"/>
      <protection locked="0" hidden="1"/>
    </xf>
    <xf numFmtId="0" fontId="0" fillId="0" borderId="32" xfId="0" applyBorder="1" applyAlignment="1" applyProtection="1">
      <alignment horizontal="center"/>
      <protection locked="0" hidden="1"/>
    </xf>
    <xf numFmtId="0" fontId="0" fillId="0" borderId="3" xfId="0" applyBorder="1" applyAlignment="1" applyProtection="1">
      <alignment horizontal="center"/>
      <protection hidden="1"/>
    </xf>
    <xf numFmtId="0" fontId="0" fillId="0" borderId="12" xfId="0" applyBorder="1" applyAlignment="1" applyProtection="1">
      <alignment horizontal="center"/>
      <protection hidden="1"/>
    </xf>
    <xf numFmtId="0" fontId="15" fillId="0" borderId="11"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0" fillId="10" borderId="0" xfId="0" applyFill="1" applyAlignment="1" applyProtection="1">
      <alignment horizontal="center" shrinkToFit="1"/>
      <protection hidden="1"/>
    </xf>
    <xf numFmtId="0" fontId="2" fillId="3" borderId="4"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0" fillId="8" borderId="11" xfId="0" applyFill="1" applyBorder="1" applyAlignment="1" applyProtection="1">
      <alignment horizontal="center" vertical="center"/>
      <protection hidden="1"/>
    </xf>
    <xf numFmtId="0" fontId="0" fillId="8" borderId="18" xfId="0" applyFill="1" applyBorder="1" applyAlignment="1" applyProtection="1">
      <alignment horizontal="center" vertical="center"/>
      <protection hidden="1"/>
    </xf>
    <xf numFmtId="0" fontId="0" fillId="0" borderId="32" xfId="0" applyBorder="1" applyAlignment="1" applyProtection="1">
      <alignment horizontal="center"/>
      <protection hidden="1"/>
    </xf>
    <xf numFmtId="0" fontId="0" fillId="4" borderId="33" xfId="0" applyFill="1" applyBorder="1" applyAlignment="1" applyProtection="1">
      <alignment horizontal="center"/>
      <protection locked="0"/>
    </xf>
    <xf numFmtId="0" fontId="0" fillId="4" borderId="34" xfId="0" applyFill="1" applyBorder="1" applyAlignment="1" applyProtection="1">
      <alignment horizontal="center"/>
      <protection locked="0"/>
    </xf>
    <xf numFmtId="166" fontId="0" fillId="4" borderId="1" xfId="0" applyNumberFormat="1" applyFill="1" applyBorder="1" applyAlignment="1" applyProtection="1">
      <alignment horizontal="center"/>
      <protection hidden="1"/>
    </xf>
    <xf numFmtId="0" fontId="0" fillId="0" borderId="35" xfId="0" applyBorder="1" applyAlignment="1" applyProtection="1">
      <alignment horizontal="center"/>
      <protection hidden="1"/>
    </xf>
    <xf numFmtId="170" fontId="0" fillId="4" borderId="1" xfId="0" applyNumberFormat="1" applyFill="1" applyBorder="1" applyAlignment="1" applyProtection="1">
      <alignment horizontal="center"/>
      <protection hidden="1"/>
    </xf>
    <xf numFmtId="0" fontId="10" fillId="4" borderId="32" xfId="0" applyFont="1" applyFill="1" applyBorder="1" applyAlignment="1" applyProtection="1">
      <alignment horizontal="center"/>
      <protection hidden="1"/>
    </xf>
    <xf numFmtId="0" fontId="10" fillId="4" borderId="1" xfId="0" applyFont="1" applyFill="1" applyBorder="1" applyAlignment="1" applyProtection="1">
      <alignment horizontal="center"/>
      <protection hidden="1"/>
    </xf>
    <xf numFmtId="0" fontId="44" fillId="12" borderId="0" xfId="0" applyFont="1" applyFill="1" applyAlignment="1" applyProtection="1">
      <alignment horizontal="center" vertical="center" wrapText="1"/>
      <protection hidden="1"/>
    </xf>
    <xf numFmtId="0" fontId="44" fillId="12" borderId="0" xfId="0" applyFont="1" applyFill="1" applyAlignment="1" applyProtection="1">
      <alignment horizontal="center" vertical="center" wrapText="1" shrinkToFit="1"/>
      <protection locked="0"/>
    </xf>
    <xf numFmtId="170" fontId="0" fillId="4" borderId="27" xfId="0" applyNumberFormat="1" applyFill="1" applyBorder="1" applyAlignment="1" applyProtection="1">
      <alignment horizontal="center"/>
      <protection hidden="1"/>
    </xf>
    <xf numFmtId="166" fontId="63" fillId="0" borderId="71" xfId="0" applyNumberFormat="1" applyFont="1" applyBorder="1" applyAlignment="1" applyProtection="1">
      <alignment horizontal="center"/>
      <protection locked="0"/>
    </xf>
    <xf numFmtId="166" fontId="63" fillId="0" borderId="72" xfId="0" applyNumberFormat="1" applyFont="1" applyBorder="1" applyAlignment="1" applyProtection="1">
      <alignment horizontal="center"/>
      <protection locked="0"/>
    </xf>
    <xf numFmtId="0" fontId="12" fillId="7" borderId="29" xfId="0" applyFont="1" applyFill="1" applyBorder="1" applyAlignment="1" applyProtection="1">
      <alignment horizontal="center"/>
      <protection hidden="1"/>
    </xf>
    <xf numFmtId="0" fontId="12" fillId="7" borderId="0" xfId="0" applyFont="1" applyFill="1" applyAlignment="1" applyProtection="1">
      <alignment horizont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Protection="1">
      <protection hidden="1"/>
    </xf>
    <xf numFmtId="0" fontId="14" fillId="0" borderId="4"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0" fillId="0" borderId="1" xfId="0" applyBorder="1" applyProtection="1">
      <protection hidden="1"/>
    </xf>
    <xf numFmtId="0" fontId="18" fillId="0" borderId="0" xfId="0" applyFont="1" applyAlignment="1" applyProtection="1">
      <alignment horizontal="left"/>
      <protection locked="0" hidden="1"/>
    </xf>
    <xf numFmtId="0" fontId="18" fillId="0" borderId="10" xfId="0" applyFont="1" applyBorder="1" applyAlignment="1" applyProtection="1">
      <alignment horizontal="left"/>
      <protection locked="0" hidden="1"/>
    </xf>
    <xf numFmtId="0" fontId="0" fillId="10" borderId="17" xfId="0" applyFill="1" applyBorder="1" applyAlignment="1" applyProtection="1">
      <alignment horizontal="center" shrinkToFit="1"/>
      <protection hidden="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11" fillId="0" borderId="29" xfId="0" applyFont="1" applyBorder="1" applyAlignment="1" applyProtection="1">
      <alignment horizontal="center"/>
      <protection hidden="1"/>
    </xf>
    <xf numFmtId="0" fontId="11" fillId="0" borderId="0" xfId="0" applyFont="1" applyAlignment="1" applyProtection="1">
      <alignment horizontal="center"/>
      <protection hidden="1"/>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43" fillId="16" borderId="0" xfId="0" applyFont="1" applyFill="1" applyAlignment="1" applyProtection="1">
      <alignment horizontal="center" vertical="center" textRotation="255" shrinkToFit="1"/>
      <protection hidden="1"/>
    </xf>
    <xf numFmtId="0" fontId="60" fillId="16" borderId="0" xfId="0" applyFont="1" applyFill="1" applyAlignment="1" applyProtection="1">
      <alignment horizontal="center" vertical="center" textRotation="255" shrinkToFit="1"/>
      <protection hidden="1"/>
    </xf>
    <xf numFmtId="0" fontId="0" fillId="4" borderId="29"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0" fillId="4" borderId="38" xfId="0" applyFont="1" applyFill="1" applyBorder="1" applyAlignment="1" applyProtection="1">
      <alignment horizontal="center"/>
      <protection hidden="1"/>
    </xf>
    <xf numFmtId="0" fontId="10" fillId="4" borderId="2" xfId="0" applyFont="1" applyFill="1" applyBorder="1" applyAlignment="1" applyProtection="1">
      <alignment horizontal="center"/>
      <protection hidden="1"/>
    </xf>
    <xf numFmtId="166" fontId="0" fillId="4" borderId="27" xfId="0" applyNumberFormat="1" applyFill="1" applyBorder="1" applyAlignment="1" applyProtection="1">
      <alignment horizontal="center"/>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17" fillId="35" borderId="21" xfId="0" applyFont="1" applyFill="1" applyBorder="1" applyAlignment="1" applyProtection="1">
      <alignment horizontal="center" vertical="center"/>
      <protection hidden="1"/>
    </xf>
    <xf numFmtId="0" fontId="17" fillId="35" borderId="22" xfId="0" applyFont="1" applyFill="1" applyBorder="1" applyAlignment="1" applyProtection="1">
      <alignment horizontal="center" vertical="center"/>
      <protection hidden="1"/>
    </xf>
    <xf numFmtId="0" fontId="17" fillId="35" borderId="23" xfId="0" applyFont="1" applyFill="1" applyBorder="1" applyAlignment="1" applyProtection="1">
      <alignment horizontal="center" vertical="center"/>
      <protection hidden="1"/>
    </xf>
    <xf numFmtId="0" fontId="16" fillId="12" borderId="3" xfId="0" applyFont="1" applyFill="1" applyBorder="1" applyAlignment="1" applyProtection="1">
      <alignment horizontal="center"/>
      <protection hidden="1"/>
    </xf>
    <xf numFmtId="0" fontId="16" fillId="12" borderId="12" xfId="0" applyFont="1" applyFill="1" applyBorder="1" applyAlignment="1" applyProtection="1">
      <alignment horizontal="center"/>
      <protection hidden="1"/>
    </xf>
    <xf numFmtId="0" fontId="16" fillId="12" borderId="31" xfId="0" applyFont="1" applyFill="1" applyBorder="1" applyAlignment="1" applyProtection="1">
      <alignment horizontal="center"/>
      <protection hidden="1"/>
    </xf>
    <xf numFmtId="0" fontId="16" fillId="12" borderId="32" xfId="0" applyFont="1" applyFill="1" applyBorder="1" applyAlignment="1" applyProtection="1">
      <alignment horizontal="center"/>
      <protection hidden="1"/>
    </xf>
    <xf numFmtId="0" fontId="0" fillId="7" borderId="1" xfId="0" applyFill="1" applyBorder="1" applyAlignment="1" applyProtection="1">
      <alignment horizontal="center"/>
      <protection locked="0"/>
    </xf>
    <xf numFmtId="0" fontId="0" fillId="35" borderId="25" xfId="0" applyFill="1" applyBorder="1" applyAlignment="1">
      <alignment horizontal="center" vertical="center"/>
    </xf>
    <xf numFmtId="0" fontId="0" fillId="35" borderId="27" xfId="0" applyFill="1" applyBorder="1" applyAlignment="1">
      <alignment horizontal="center" vertical="center"/>
    </xf>
    <xf numFmtId="0" fontId="0" fillId="35" borderId="2" xfId="0" applyFill="1" applyBorder="1" applyAlignment="1">
      <alignment horizontal="center" vertical="center"/>
    </xf>
    <xf numFmtId="0" fontId="0" fillId="7" borderId="46" xfId="0" applyFill="1" applyBorder="1" applyAlignment="1" applyProtection="1">
      <alignment horizontal="center"/>
      <protection locked="0"/>
    </xf>
    <xf numFmtId="0" fontId="0" fillId="7" borderId="42" xfId="0" applyFill="1" applyBorder="1" applyAlignment="1" applyProtection="1">
      <alignment horizontal="center"/>
      <protection locked="0"/>
    </xf>
    <xf numFmtId="0" fontId="0" fillId="7" borderId="41" xfId="0" applyFill="1" applyBorder="1" applyAlignment="1" applyProtection="1">
      <alignment horizontal="center"/>
      <protection locked="0"/>
    </xf>
    <xf numFmtId="0" fontId="0" fillId="7" borderId="12" xfId="0" applyFill="1" applyBorder="1" applyAlignment="1" applyProtection="1">
      <alignment horizontal="center"/>
      <protection locked="0"/>
    </xf>
    <xf numFmtId="0" fontId="0" fillId="7" borderId="32" xfId="0" applyFill="1" applyBorder="1" applyAlignment="1" applyProtection="1">
      <alignment horizontal="center"/>
      <protection locked="0"/>
    </xf>
    <xf numFmtId="0" fontId="0" fillId="7" borderId="3" xfId="0" applyFill="1" applyBorder="1" applyAlignment="1" applyProtection="1">
      <alignment horizontal="center"/>
      <protection locked="0"/>
    </xf>
    <xf numFmtId="0" fontId="44" fillId="12" borderId="0" xfId="0" applyFont="1" applyFill="1" applyAlignment="1">
      <alignment horizontal="center" vertical="center"/>
    </xf>
    <xf numFmtId="0" fontId="16" fillId="12" borderId="0" xfId="0" applyFont="1" applyFill="1" applyAlignment="1">
      <alignment horizontal="center" vertical="center"/>
    </xf>
    <xf numFmtId="0" fontId="16" fillId="0" borderId="0" xfId="0" applyFont="1" applyAlignment="1">
      <alignment horizontal="center" vertical="center"/>
    </xf>
    <xf numFmtId="0" fontId="0" fillId="7" borderId="35" xfId="0" applyFill="1" applyBorder="1" applyAlignment="1" applyProtection="1">
      <alignment horizontal="center"/>
      <protection locked="0"/>
    </xf>
    <xf numFmtId="0" fontId="0" fillId="7" borderId="34" xfId="0" applyFill="1" applyBorder="1" applyAlignment="1" applyProtection="1">
      <alignment horizontal="center"/>
      <protection locked="0"/>
    </xf>
    <xf numFmtId="0" fontId="0" fillId="7" borderId="33" xfId="0" applyFill="1" applyBorder="1" applyAlignment="1" applyProtection="1">
      <alignment horizontal="center"/>
      <protection locked="0"/>
    </xf>
    <xf numFmtId="0" fontId="0" fillId="0" borderId="0" xfId="0" applyAlignment="1">
      <alignment horizontal="center"/>
    </xf>
    <xf numFmtId="0" fontId="50" fillId="12" borderId="0" xfId="0" applyFont="1" applyFill="1" applyAlignment="1" applyProtection="1">
      <alignment horizontal="center" wrapText="1"/>
      <protection locked="0"/>
    </xf>
    <xf numFmtId="0" fontId="50" fillId="12" borderId="0" xfId="0" applyFont="1" applyFill="1" applyAlignment="1" applyProtection="1">
      <alignment horizontal="center"/>
      <protection locked="0"/>
    </xf>
    <xf numFmtId="0" fontId="44" fillId="12" borderId="0" xfId="0" applyFont="1" applyFill="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 fillId="7" borderId="11" xfId="0" applyFont="1" applyFill="1" applyBorder="1" applyAlignment="1" applyProtection="1">
      <alignment horizontal="center"/>
      <protection hidden="1"/>
    </xf>
    <xf numFmtId="0" fontId="1" fillId="7" borderId="17" xfId="0" applyFont="1" applyFill="1" applyBorder="1" applyAlignment="1" applyProtection="1">
      <alignment horizontal="center"/>
      <protection hidden="1"/>
    </xf>
    <xf numFmtId="0" fontId="1" fillId="7" borderId="7" xfId="0" applyFont="1" applyFill="1" applyBorder="1" applyAlignment="1" applyProtection="1">
      <alignment horizontal="center"/>
      <protection hidden="1"/>
    </xf>
    <xf numFmtId="0" fontId="1" fillId="7" borderId="20" xfId="0" applyFont="1" applyFill="1" applyBorder="1" applyAlignment="1" applyProtection="1">
      <alignment horizontal="center"/>
      <protection hidden="1"/>
    </xf>
    <xf numFmtId="0" fontId="17" fillId="0" borderId="11" xfId="0" applyFont="1" applyBorder="1" applyAlignment="1" applyProtection="1">
      <alignment horizontal="center"/>
      <protection hidden="1"/>
    </xf>
    <xf numFmtId="0" fontId="17" fillId="0" borderId="0" xfId="0" applyFont="1" applyAlignment="1" applyProtection="1">
      <alignment horizontal="center"/>
      <protection hidden="1"/>
    </xf>
    <xf numFmtId="0" fontId="1" fillId="7" borderId="52" xfId="0" applyFont="1" applyFill="1" applyBorder="1" applyAlignment="1" applyProtection="1">
      <alignment horizontal="center"/>
      <protection hidden="1"/>
    </xf>
    <xf numFmtId="0" fontId="1" fillId="7" borderId="43" xfId="0" applyFont="1" applyFill="1" applyBorder="1" applyAlignment="1" applyProtection="1">
      <alignment horizontal="center"/>
      <protection hidden="1"/>
    </xf>
    <xf numFmtId="0" fontId="16" fillId="12" borderId="0" xfId="0" applyFont="1" applyFill="1" applyAlignment="1" applyProtection="1">
      <alignment horizontal="center"/>
      <protection hidden="1"/>
    </xf>
    <xf numFmtId="0" fontId="1" fillId="0" borderId="0" xfId="0" applyFont="1" applyAlignment="1" applyProtection="1">
      <alignment horizontal="left"/>
      <protection locked="0"/>
    </xf>
    <xf numFmtId="0" fontId="44" fillId="0" borderId="0" xfId="0" applyFont="1" applyAlignment="1">
      <alignment horizontal="center" vertical="center"/>
    </xf>
    <xf numFmtId="0" fontId="1" fillId="7" borderId="18" xfId="0" applyFont="1" applyFill="1" applyBorder="1" applyAlignment="1" applyProtection="1">
      <alignment horizontal="center"/>
      <protection hidden="1"/>
    </xf>
    <xf numFmtId="0" fontId="1" fillId="7" borderId="19" xfId="0" applyFont="1" applyFill="1" applyBorder="1" applyAlignment="1" applyProtection="1">
      <alignment horizontal="center"/>
      <protection hidden="1"/>
    </xf>
    <xf numFmtId="0" fontId="1" fillId="4" borderId="0" xfId="0" applyFont="1" applyFill="1" applyAlignment="1" applyProtection="1">
      <alignment horizontal="left"/>
      <protection locked="0"/>
    </xf>
    <xf numFmtId="0" fontId="1" fillId="26" borderId="4" xfId="0" applyFont="1" applyFill="1" applyBorder="1" applyAlignment="1">
      <alignment horizontal="center"/>
    </xf>
    <xf numFmtId="0" fontId="1" fillId="26" borderId="6" xfId="0" applyFont="1" applyFill="1" applyBorder="1" applyAlignment="1">
      <alignment horizontal="center"/>
    </xf>
    <xf numFmtId="0" fontId="0" fillId="0" borderId="0" xfId="0" applyAlignment="1">
      <alignment horizontal="center" vertical="center"/>
    </xf>
    <xf numFmtId="165" fontId="0" fillId="7" borderId="25" xfId="0" applyNumberFormat="1" applyFill="1" applyBorder="1" applyAlignment="1" applyProtection="1">
      <alignment horizontal="center" vertical="center"/>
      <protection hidden="1"/>
    </xf>
    <xf numFmtId="165" fontId="0" fillId="7" borderId="2" xfId="0" applyNumberFormat="1" applyFill="1" applyBorder="1" applyAlignment="1" applyProtection="1">
      <alignment horizontal="center" vertical="center"/>
      <protection hidden="1"/>
    </xf>
    <xf numFmtId="165" fontId="0" fillId="7" borderId="30" xfId="0" applyNumberFormat="1" applyFill="1" applyBorder="1" applyAlignment="1" applyProtection="1">
      <alignment horizontal="center" vertical="center"/>
      <protection hidden="1"/>
    </xf>
    <xf numFmtId="165" fontId="0" fillId="7" borderId="45" xfId="0" applyNumberFormat="1" applyFill="1" applyBorder="1" applyAlignment="1" applyProtection="1">
      <alignment horizontal="center" vertical="center"/>
      <protection hidden="1"/>
    </xf>
    <xf numFmtId="165" fontId="0" fillId="7" borderId="33" xfId="0" applyNumberFormat="1" applyFill="1" applyBorder="1" applyAlignment="1" applyProtection="1">
      <alignment horizontal="center" vertical="center"/>
      <protection hidden="1"/>
    </xf>
    <xf numFmtId="165" fontId="0" fillId="7" borderId="34" xfId="0" applyNumberFormat="1" applyFill="1" applyBorder="1" applyAlignment="1" applyProtection="1">
      <alignment horizontal="center" vertical="center"/>
      <protection hidden="1"/>
    </xf>
    <xf numFmtId="165" fontId="0" fillId="7" borderId="33" xfId="0" applyNumberFormat="1" applyFill="1" applyBorder="1" applyAlignment="1" applyProtection="1">
      <alignment horizontal="center"/>
      <protection hidden="1"/>
    </xf>
    <xf numFmtId="165" fontId="0" fillId="7" borderId="34" xfId="0" applyNumberFormat="1" applyFill="1" applyBorder="1" applyAlignment="1" applyProtection="1">
      <alignment horizontal="center"/>
      <protection hidden="1"/>
    </xf>
    <xf numFmtId="0" fontId="11" fillId="8" borderId="1" xfId="0" applyFont="1" applyFill="1" applyBorder="1" applyAlignment="1" applyProtection="1">
      <alignment horizontal="center"/>
      <protection hidden="1"/>
    </xf>
    <xf numFmtId="166" fontId="0" fillId="7" borderId="1" xfId="0" applyNumberFormat="1" applyFill="1" applyBorder="1" applyAlignment="1" applyProtection="1">
      <alignment horizontal="center"/>
      <protection hidden="1"/>
    </xf>
    <xf numFmtId="2" fontId="0" fillId="7" borderId="27" xfId="0" applyNumberFormat="1" applyFill="1" applyBorder="1" applyAlignment="1" applyProtection="1">
      <alignment horizontal="center"/>
      <protection hidden="1"/>
    </xf>
    <xf numFmtId="2" fontId="0" fillId="7" borderId="2" xfId="0" applyNumberFormat="1" applyFill="1" applyBorder="1" applyAlignment="1" applyProtection="1">
      <alignment horizontal="center"/>
      <protection hidden="1"/>
    </xf>
    <xf numFmtId="0" fontId="44" fillId="11" borderId="0" xfId="0" applyFont="1" applyFill="1" applyAlignment="1" applyProtection="1">
      <alignment horizontal="center" vertical="center" wrapText="1"/>
      <protection hidden="1"/>
    </xf>
    <xf numFmtId="0" fontId="44" fillId="11" borderId="0" xfId="0" applyFont="1" applyFill="1" applyAlignment="1" applyProtection="1">
      <alignment horizontal="center" vertical="center" wrapText="1" shrinkToFit="1"/>
      <protection hidden="1"/>
    </xf>
    <xf numFmtId="0" fontId="11" fillId="8" borderId="27" xfId="0" applyFont="1" applyFill="1" applyBorder="1" applyAlignment="1" applyProtection="1">
      <alignment horizontal="center"/>
      <protection hidden="1"/>
    </xf>
    <xf numFmtId="0" fontId="11" fillId="8" borderId="2" xfId="0" applyFont="1" applyFill="1" applyBorder="1" applyAlignment="1" applyProtection="1">
      <alignment horizontal="center"/>
      <protection hidden="1"/>
    </xf>
    <xf numFmtId="166" fontId="0" fillId="7" borderId="27" xfId="0" applyNumberFormat="1" applyFill="1" applyBorder="1" applyAlignment="1" applyProtection="1">
      <alignment horizontal="center"/>
      <protection hidden="1"/>
    </xf>
    <xf numFmtId="165" fontId="0" fillId="7" borderId="27" xfId="0" applyNumberFormat="1" applyFill="1" applyBorder="1" applyAlignment="1" applyProtection="1">
      <alignment horizontal="center" vertical="center"/>
      <protection hidden="1"/>
    </xf>
    <xf numFmtId="0" fontId="1" fillId="0" borderId="0" xfId="0" applyFont="1" applyAlignment="1" applyProtection="1">
      <alignment horizontal="center"/>
      <protection hidden="1"/>
    </xf>
    <xf numFmtId="165" fontId="0" fillId="7" borderId="3" xfId="0" applyNumberFormat="1" applyFill="1" applyBorder="1" applyAlignment="1" applyProtection="1">
      <alignment horizontal="center"/>
      <protection hidden="1"/>
    </xf>
    <xf numFmtId="165" fontId="0" fillId="7" borderId="32" xfId="0" applyNumberFormat="1" applyFill="1" applyBorder="1" applyAlignment="1" applyProtection="1">
      <alignment horizontal="center"/>
      <protection hidden="1"/>
    </xf>
    <xf numFmtId="1" fontId="0" fillId="7" borderId="1" xfId="0" applyNumberFormat="1" applyFill="1" applyBorder="1" applyAlignment="1" applyProtection="1">
      <alignment horizontal="center"/>
      <protection hidden="1"/>
    </xf>
    <xf numFmtId="1" fontId="0" fillId="7" borderId="27" xfId="0" applyNumberFormat="1" applyFill="1" applyBorder="1" applyAlignment="1" applyProtection="1">
      <alignment horizontal="center"/>
      <protection hidden="1"/>
    </xf>
    <xf numFmtId="0" fontId="1" fillId="0" borderId="0" xfId="0" applyFont="1" applyAlignment="1">
      <alignment horizontal="center"/>
    </xf>
    <xf numFmtId="0" fontId="44" fillId="12" borderId="0" xfId="0" applyFont="1" applyFill="1" applyAlignment="1" applyProtection="1">
      <alignment horizontal="center" vertical="center" wrapText="1" shrinkToFit="1"/>
      <protection hidden="1"/>
    </xf>
    <xf numFmtId="165" fontId="0" fillId="0" borderId="3" xfId="0" applyNumberFormat="1" applyBorder="1" applyAlignment="1" applyProtection="1">
      <alignment horizontal="center" vertical="center" wrapText="1"/>
      <protection hidden="1"/>
    </xf>
    <xf numFmtId="165" fontId="0" fillId="0" borderId="43" xfId="0" applyNumberFormat="1" applyBorder="1" applyAlignment="1" applyProtection="1">
      <alignment horizontal="center" vertical="center" wrapText="1"/>
      <protection hidden="1"/>
    </xf>
    <xf numFmtId="165" fontId="0" fillId="0" borderId="33" xfId="0" applyNumberFormat="1" applyBorder="1" applyAlignment="1" applyProtection="1">
      <alignment horizontal="center" vertical="center" wrapText="1"/>
      <protection hidden="1"/>
    </xf>
    <xf numFmtId="165" fontId="0" fillId="0" borderId="62" xfId="0" applyNumberFormat="1" applyBorder="1" applyAlignment="1" applyProtection="1">
      <alignment horizontal="center" vertical="center" wrapText="1"/>
      <protection hidden="1"/>
    </xf>
    <xf numFmtId="165" fontId="0" fillId="0" borderId="1" xfId="0" applyNumberFormat="1" applyBorder="1" applyAlignment="1" applyProtection="1">
      <alignment horizontal="center" vertical="center" wrapText="1"/>
      <protection hidden="1"/>
    </xf>
    <xf numFmtId="165" fontId="0" fillId="0" borderId="56" xfId="0" applyNumberFormat="1" applyBorder="1" applyAlignment="1" applyProtection="1">
      <alignment horizontal="center" vertical="center" wrapText="1"/>
      <protection hidden="1"/>
    </xf>
    <xf numFmtId="0" fontId="0" fillId="0" borderId="39" xfId="0" applyBorder="1" applyAlignment="1">
      <alignment horizontal="center"/>
    </xf>
    <xf numFmtId="0" fontId="0" fillId="0" borderId="64" xfId="0" applyBorder="1" applyAlignment="1">
      <alignment horizontal="center"/>
    </xf>
    <xf numFmtId="0" fontId="1" fillId="0" borderId="10" xfId="0" applyFont="1" applyBorder="1" applyAlignment="1">
      <alignment horizontal="center"/>
    </xf>
    <xf numFmtId="0" fontId="44" fillId="12" borderId="4" xfId="0" applyFont="1" applyFill="1" applyBorder="1" applyAlignment="1" applyProtection="1">
      <alignment horizontal="center" vertical="center" wrapText="1"/>
      <protection hidden="1"/>
    </xf>
    <xf numFmtId="0" fontId="44" fillId="12" borderId="6" xfId="0" applyFont="1" applyFill="1" applyBorder="1" applyAlignment="1" applyProtection="1">
      <alignment horizontal="center" vertical="center" wrapText="1"/>
      <protection hidden="1"/>
    </xf>
    <xf numFmtId="165" fontId="0" fillId="0" borderId="41" xfId="0" applyNumberFormat="1" applyBorder="1" applyAlignment="1" applyProtection="1">
      <alignment horizontal="center" vertical="center" wrapText="1"/>
      <protection hidden="1"/>
    </xf>
    <xf numFmtId="165" fontId="0" fillId="0" borderId="67" xfId="0" applyNumberFormat="1" applyBorder="1" applyAlignment="1" applyProtection="1">
      <alignment horizontal="center" vertical="center" wrapText="1"/>
      <protection hidden="1"/>
    </xf>
    <xf numFmtId="0" fontId="43" fillId="35" borderId="27" xfId="0" applyFont="1" applyFill="1" applyBorder="1" applyAlignment="1" applyProtection="1">
      <alignment horizontal="center" vertical="center" wrapText="1"/>
      <protection hidden="1"/>
    </xf>
    <xf numFmtId="0" fontId="43" fillId="35" borderId="2" xfId="0" applyFont="1" applyFill="1" applyBorder="1" applyAlignment="1" applyProtection="1">
      <alignment horizontal="center" vertical="center" wrapText="1"/>
      <protection hidden="1"/>
    </xf>
    <xf numFmtId="0" fontId="43" fillId="35" borderId="25" xfId="0" applyFont="1" applyFill="1" applyBorder="1" applyAlignment="1" applyProtection="1">
      <alignment horizontal="center" vertical="center" wrapText="1"/>
      <protection hidden="1"/>
    </xf>
    <xf numFmtId="0" fontId="0" fillId="0" borderId="0" xfId="0" applyAlignment="1" applyProtection="1">
      <alignment horizontal="right"/>
      <protection hidden="1"/>
    </xf>
    <xf numFmtId="0" fontId="0" fillId="0" borderId="38" xfId="0" applyBorder="1" applyAlignment="1" applyProtection="1">
      <alignment horizontal="right"/>
      <protection hidden="1"/>
    </xf>
    <xf numFmtId="165" fontId="0" fillId="7" borderId="30" xfId="0" applyNumberFormat="1" applyFill="1" applyBorder="1" applyAlignment="1" applyProtection="1">
      <alignment horizontal="center" vertical="center" wrapText="1"/>
      <protection hidden="1"/>
    </xf>
    <xf numFmtId="165" fontId="0" fillId="7" borderId="45" xfId="0" applyNumberFormat="1" applyFill="1" applyBorder="1" applyAlignment="1" applyProtection="1">
      <alignment horizontal="center" vertical="center" wrapText="1"/>
      <protection hidden="1"/>
    </xf>
    <xf numFmtId="165" fontId="0" fillId="7" borderId="33" xfId="0" applyNumberFormat="1" applyFill="1" applyBorder="1" applyAlignment="1" applyProtection="1">
      <alignment horizontal="center" vertical="center" wrapText="1"/>
      <protection hidden="1"/>
    </xf>
    <xf numFmtId="165" fontId="0" fillId="7" borderId="34" xfId="0" applyNumberFormat="1" applyFill="1" applyBorder="1" applyAlignment="1" applyProtection="1">
      <alignment horizontal="center" vertical="center" wrapText="1"/>
      <protection hidden="1"/>
    </xf>
    <xf numFmtId="0" fontId="43" fillId="0" borderId="25" xfId="0" applyFont="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hidden="1"/>
    </xf>
    <xf numFmtId="0" fontId="43" fillId="0" borderId="27" xfId="0" applyFont="1" applyBorder="1" applyAlignment="1" applyProtection="1">
      <alignment horizontal="center" vertical="center" wrapText="1"/>
      <protection hidden="1"/>
    </xf>
    <xf numFmtId="0" fontId="45" fillId="12" borderId="0" xfId="0" applyFont="1" applyFill="1" applyAlignment="1" applyProtection="1">
      <alignment horizontal="center" vertical="center" wrapText="1"/>
      <protection hidden="1"/>
    </xf>
    <xf numFmtId="0" fontId="45" fillId="12" borderId="10" xfId="0" applyFont="1" applyFill="1" applyBorder="1" applyAlignment="1" applyProtection="1">
      <alignment horizontal="center" vertical="center" wrapText="1"/>
      <protection hidden="1"/>
    </xf>
    <xf numFmtId="0" fontId="44" fillId="12" borderId="10" xfId="0" applyFont="1" applyFill="1" applyBorder="1" applyAlignment="1" applyProtection="1">
      <alignment horizontal="center" vertical="center" wrapText="1"/>
      <protection hidden="1"/>
    </xf>
    <xf numFmtId="0" fontId="9" fillId="7" borderId="3" xfId="0" applyFont="1" applyFill="1" applyBorder="1" applyAlignment="1" applyProtection="1">
      <alignment horizontal="center" vertical="center"/>
      <protection hidden="1"/>
    </xf>
    <xf numFmtId="0" fontId="9" fillId="7" borderId="32" xfId="0" applyFont="1" applyFill="1" applyBorder="1" applyAlignment="1" applyProtection="1">
      <alignment horizontal="center" vertical="center"/>
      <protection hidden="1"/>
    </xf>
    <xf numFmtId="0" fontId="44" fillId="12" borderId="0" xfId="0" applyFont="1" applyFill="1" applyAlignment="1" applyProtection="1">
      <alignment horizontal="center"/>
      <protection hidden="1"/>
    </xf>
    <xf numFmtId="165" fontId="0" fillId="7" borderId="29" xfId="0" applyNumberFormat="1" applyFill="1" applyBorder="1" applyAlignment="1" applyProtection="1">
      <alignment horizontal="center" vertical="center" wrapText="1"/>
      <protection hidden="1"/>
    </xf>
    <xf numFmtId="165" fontId="0" fillId="7" borderId="38" xfId="0" applyNumberFormat="1" applyFill="1" applyBorder="1" applyAlignment="1" applyProtection="1">
      <alignment horizontal="center" vertical="center" wrapText="1"/>
      <protection hidden="1"/>
    </xf>
    <xf numFmtId="1" fontId="91" fillId="0" borderId="25" xfId="0" applyNumberFormat="1" applyFont="1" applyBorder="1" applyAlignment="1">
      <alignment horizontal="center" vertical="center"/>
    </xf>
    <xf numFmtId="1" fontId="91" fillId="0" borderId="2" xfId="0" applyNumberFormat="1" applyFont="1" applyBorder="1" applyAlignment="1">
      <alignment horizontal="center" vertical="center"/>
    </xf>
    <xf numFmtId="165" fontId="13" fillId="7" borderId="25" xfId="0" applyNumberFormat="1" applyFont="1" applyFill="1" applyBorder="1" applyAlignment="1" applyProtection="1">
      <alignment horizontal="center" vertical="center" wrapText="1"/>
      <protection hidden="1"/>
    </xf>
    <xf numFmtId="165" fontId="13" fillId="7" borderId="2" xfId="0" applyNumberFormat="1" applyFont="1" applyFill="1" applyBorder="1" applyAlignment="1" applyProtection="1">
      <alignment horizontal="center" vertical="center" wrapText="1"/>
      <protection hidden="1"/>
    </xf>
    <xf numFmtId="0" fontId="22" fillId="0" borderId="0" xfId="0" applyFont="1" applyAlignment="1" applyProtection="1">
      <alignment horizontal="center"/>
      <protection hidden="1"/>
    </xf>
    <xf numFmtId="0" fontId="13" fillId="0" borderId="0" xfId="0" applyFont="1" applyAlignment="1">
      <alignment horizontal="center" vertical="center"/>
    </xf>
    <xf numFmtId="0" fontId="26" fillId="0" borderId="0" xfId="0" applyFont="1" applyAlignment="1">
      <alignment horizontal="left" vertical="center" wrapText="1"/>
    </xf>
    <xf numFmtId="0" fontId="13" fillId="0" borderId="52" xfId="0" applyFont="1" applyBorder="1" applyAlignment="1" applyProtection="1">
      <alignment horizontal="center"/>
      <protection locked="0"/>
    </xf>
    <xf numFmtId="0" fontId="13" fillId="0" borderId="32" xfId="0" applyFont="1" applyBorder="1" applyAlignment="1" applyProtection="1">
      <alignment horizontal="center"/>
      <protection locked="0"/>
    </xf>
    <xf numFmtId="0" fontId="0" fillId="0" borderId="3" xfId="0" applyBorder="1" applyAlignment="1">
      <alignment horizontal="center"/>
    </xf>
    <xf numFmtId="0" fontId="0" fillId="0" borderId="43" xfId="0" applyBorder="1" applyAlignment="1">
      <alignment horizontal="center"/>
    </xf>
    <xf numFmtId="0" fontId="1" fillId="4" borderId="0" xfId="0" applyFont="1" applyFill="1" applyAlignment="1">
      <alignment horizontal="left"/>
    </xf>
    <xf numFmtId="0" fontId="44" fillId="12" borderId="7" xfId="0" applyFont="1" applyFill="1" applyBorder="1" applyAlignment="1" applyProtection="1">
      <alignment horizontal="center"/>
      <protection hidden="1"/>
    </xf>
    <xf numFmtId="0" fontId="44" fillId="12" borderId="8" xfId="0" applyFont="1" applyFill="1" applyBorder="1" applyAlignment="1" applyProtection="1">
      <alignment horizontal="center"/>
      <protection hidden="1"/>
    </xf>
    <xf numFmtId="0" fontId="44" fillId="12" borderId="20" xfId="0" applyFont="1" applyFill="1" applyBorder="1" applyAlignment="1" applyProtection="1">
      <alignment horizontal="center"/>
      <protection hidden="1"/>
    </xf>
    <xf numFmtId="0" fontId="0" fillId="7" borderId="3" xfId="0" applyFill="1" applyBorder="1" applyAlignment="1" applyProtection="1">
      <alignment horizontal="center" vertical="center" wrapText="1"/>
      <protection hidden="1"/>
    </xf>
    <xf numFmtId="0" fontId="0" fillId="7" borderId="32" xfId="0" applyFill="1" applyBorder="1" applyAlignment="1" applyProtection="1">
      <alignment horizontal="center" vertical="center" wrapText="1"/>
      <protection hidden="1"/>
    </xf>
    <xf numFmtId="165" fontId="0" fillId="7" borderId="3" xfId="0" applyNumberFormat="1" applyFill="1" applyBorder="1" applyAlignment="1" applyProtection="1">
      <alignment horizontal="center" vertical="center" wrapText="1"/>
      <protection hidden="1"/>
    </xf>
    <xf numFmtId="165" fontId="0" fillId="7" borderId="32" xfId="0" applyNumberFormat="1" applyFill="1" applyBorder="1" applyAlignment="1" applyProtection="1">
      <alignment horizontal="center" vertical="center" wrapText="1"/>
      <protection hidden="1"/>
    </xf>
    <xf numFmtId="0" fontId="0" fillId="7" borderId="29" xfId="0" applyFill="1" applyBorder="1" applyAlignment="1" applyProtection="1">
      <alignment horizontal="center" vertical="center" wrapText="1"/>
      <protection hidden="1"/>
    </xf>
    <xf numFmtId="0" fontId="0" fillId="7" borderId="38" xfId="0" applyFill="1" applyBorder="1" applyAlignment="1" applyProtection="1">
      <alignment horizontal="center" vertical="center" wrapText="1"/>
      <protection hidden="1"/>
    </xf>
    <xf numFmtId="0" fontId="0" fillId="7" borderId="33" xfId="0" applyFill="1" applyBorder="1" applyAlignment="1" applyProtection="1">
      <alignment horizontal="center" vertical="center" wrapText="1"/>
      <protection hidden="1"/>
    </xf>
    <xf numFmtId="0" fontId="0" fillId="7" borderId="34" xfId="0" applyFill="1" applyBorder="1" applyAlignment="1" applyProtection="1">
      <alignment horizontal="center" vertical="center" wrapText="1"/>
      <protection hidden="1"/>
    </xf>
    <xf numFmtId="0" fontId="22" fillId="0" borderId="0" xfId="0" applyFont="1" applyAlignment="1">
      <alignment horizontal="center"/>
    </xf>
    <xf numFmtId="0" fontId="13" fillId="0" borderId="61" xfId="0" applyFont="1" applyBorder="1" applyAlignment="1" applyProtection="1">
      <alignment horizontal="center"/>
      <protection locked="0"/>
    </xf>
    <xf numFmtId="0" fontId="13" fillId="0" borderId="34" xfId="0" applyFont="1" applyBorder="1" applyAlignment="1" applyProtection="1">
      <alignment horizontal="center"/>
      <protection locked="0"/>
    </xf>
    <xf numFmtId="0" fontId="13" fillId="0" borderId="63" xfId="0" applyFont="1" applyBorder="1" applyAlignment="1" applyProtection="1">
      <alignment horizontal="center"/>
      <protection locked="0"/>
    </xf>
    <xf numFmtId="0" fontId="13" fillId="0" borderId="40" xfId="0" applyFont="1" applyBorder="1" applyAlignment="1" applyProtection="1">
      <alignment horizontal="center"/>
      <protection locked="0"/>
    </xf>
    <xf numFmtId="0" fontId="44" fillId="0" borderId="0" xfId="0" applyFont="1" applyAlignment="1">
      <alignment horizontal="center"/>
    </xf>
    <xf numFmtId="0" fontId="16" fillId="12" borderId="4" xfId="0" applyFont="1" applyFill="1" applyBorder="1" applyAlignment="1" applyProtection="1">
      <alignment horizontal="center"/>
      <protection locked="0"/>
    </xf>
    <xf numFmtId="0" fontId="16" fillId="12" borderId="65" xfId="0" applyFont="1" applyFill="1" applyBorder="1" applyAlignment="1" applyProtection="1">
      <alignment horizontal="center"/>
      <protection locked="0"/>
    </xf>
    <xf numFmtId="0" fontId="16" fillId="12" borderId="66" xfId="0" applyFont="1" applyFill="1" applyBorder="1" applyAlignment="1">
      <alignment horizontal="center"/>
    </xf>
    <xf numFmtId="0" fontId="16" fillId="12" borderId="6" xfId="0" applyFont="1" applyFill="1" applyBorder="1" applyAlignment="1">
      <alignment horizontal="center"/>
    </xf>
    <xf numFmtId="165" fontId="13" fillId="7" borderId="27" xfId="0" applyNumberFormat="1" applyFont="1" applyFill="1" applyBorder="1" applyAlignment="1" applyProtection="1">
      <alignment horizontal="center" vertical="center" wrapText="1"/>
      <protection hidden="1"/>
    </xf>
    <xf numFmtId="165" fontId="0" fillId="0" borderId="0" xfId="0" applyNumberForma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32" xfId="0" applyBorder="1" applyAlignment="1">
      <alignment horizontal="center"/>
    </xf>
    <xf numFmtId="0" fontId="27" fillId="0" borderId="3" xfId="0" applyFont="1" applyBorder="1" applyAlignment="1" applyProtection="1">
      <alignment horizontal="center"/>
      <protection hidden="1"/>
    </xf>
    <xf numFmtId="0" fontId="27" fillId="0" borderId="32" xfId="0" applyFont="1" applyBorder="1" applyAlignment="1" applyProtection="1">
      <alignment horizontal="center"/>
      <protection hidden="1"/>
    </xf>
    <xf numFmtId="0" fontId="44" fillId="12" borderId="0" xfId="0" applyFont="1" applyFill="1" applyAlignment="1">
      <alignment horizontal="center" vertical="center" wrapText="1"/>
    </xf>
    <xf numFmtId="0" fontId="0" fillId="0" borderId="33" xfId="0" applyBorder="1" applyAlignment="1">
      <alignment horizontal="center"/>
    </xf>
    <xf numFmtId="0" fontId="0" fillId="0" borderId="62" xfId="0" applyBorder="1" applyAlignment="1">
      <alignment horizontal="center"/>
    </xf>
    <xf numFmtId="0" fontId="44" fillId="12" borderId="4" xfId="0" applyFont="1" applyFill="1" applyBorder="1" applyAlignment="1" applyProtection="1">
      <alignment horizontal="center"/>
      <protection locked="0"/>
    </xf>
    <xf numFmtId="0" fontId="44" fillId="12" borderId="6" xfId="0" applyFont="1" applyFill="1" applyBorder="1" applyAlignment="1" applyProtection="1">
      <alignment horizontal="center"/>
      <protection locked="0"/>
    </xf>
    <xf numFmtId="0" fontId="44" fillId="12" borderId="4" xfId="0" applyFont="1" applyFill="1" applyBorder="1" applyAlignment="1">
      <alignment horizontal="center"/>
    </xf>
    <xf numFmtId="0" fontId="44" fillId="12" borderId="6" xfId="0" applyFont="1" applyFill="1" applyBorder="1" applyAlignment="1">
      <alignment horizontal="center"/>
    </xf>
    <xf numFmtId="0" fontId="44" fillId="12" borderId="10" xfId="0" applyFont="1" applyFill="1" applyBorder="1" applyAlignment="1">
      <alignment horizontal="center" vertical="center" wrapText="1"/>
    </xf>
    <xf numFmtId="0" fontId="13" fillId="4" borderId="25" xfId="0" applyFont="1" applyFill="1" applyBorder="1" applyAlignment="1">
      <alignment horizontal="center" vertical="center"/>
    </xf>
    <xf numFmtId="0" fontId="13" fillId="4" borderId="2" xfId="0" applyFont="1" applyFill="1" applyBorder="1" applyAlignment="1">
      <alignment horizontal="center" vertical="center"/>
    </xf>
    <xf numFmtId="0" fontId="0" fillId="0" borderId="30" xfId="0" applyBorder="1" applyAlignment="1">
      <alignment horizontal="left" vertical="center" wrapText="1"/>
    </xf>
    <xf numFmtId="0" fontId="0" fillId="0" borderId="4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center" vertical="center"/>
    </xf>
    <xf numFmtId="0" fontId="0" fillId="0" borderId="4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44" fillId="12" borderId="7" xfId="0" applyFont="1" applyFill="1" applyBorder="1" applyAlignment="1">
      <alignment horizontal="center"/>
    </xf>
    <xf numFmtId="0" fontId="44" fillId="12" borderId="20" xfId="0" applyFont="1" applyFill="1" applyBorder="1" applyAlignment="1">
      <alignment horizontal="center"/>
    </xf>
    <xf numFmtId="0" fontId="0" fillId="26" borderId="4" xfId="0" applyFill="1" applyBorder="1" applyAlignment="1">
      <alignment horizontal="center"/>
    </xf>
    <xf numFmtId="0" fontId="0" fillId="26" borderId="6" xfId="0" applyFill="1" applyBorder="1" applyAlignment="1">
      <alignment horizontal="center"/>
    </xf>
    <xf numFmtId="165" fontId="0" fillId="7" borderId="63" xfId="0" applyNumberFormat="1" applyFill="1" applyBorder="1" applyAlignment="1" applyProtection="1">
      <alignment horizontal="center"/>
      <protection hidden="1"/>
    </xf>
    <xf numFmtId="0" fontId="0" fillId="7" borderId="40" xfId="0" applyFill="1" applyBorder="1" applyAlignment="1" applyProtection="1">
      <alignment horizontal="center"/>
      <protection hidden="1"/>
    </xf>
    <xf numFmtId="0" fontId="0" fillId="7" borderId="70" xfId="0" applyFill="1" applyBorder="1" applyAlignment="1" applyProtection="1">
      <alignment horizontal="center"/>
      <protection hidden="1"/>
    </xf>
    <xf numFmtId="0" fontId="0" fillId="7" borderId="64" xfId="0" applyFill="1" applyBorder="1" applyAlignment="1" applyProtection="1">
      <alignment horizontal="center"/>
      <protection hidden="1"/>
    </xf>
    <xf numFmtId="0" fontId="16" fillId="14" borderId="4" xfId="0" applyFont="1" applyFill="1" applyBorder="1" applyAlignment="1">
      <alignment horizontal="center"/>
    </xf>
    <xf numFmtId="0" fontId="16" fillId="14" borderId="5" xfId="0" applyFont="1" applyFill="1" applyBorder="1" applyAlignment="1">
      <alignment horizontal="center"/>
    </xf>
    <xf numFmtId="0" fontId="16" fillId="14" borderId="6" xfId="0" applyFont="1" applyFill="1" applyBorder="1" applyAlignment="1">
      <alignment horizontal="center"/>
    </xf>
    <xf numFmtId="165" fontId="13" fillId="7" borderId="52" xfId="0" applyNumberFormat="1" applyFont="1" applyFill="1" applyBorder="1" applyAlignment="1" applyProtection="1">
      <alignment horizontal="center"/>
      <protection hidden="1"/>
    </xf>
    <xf numFmtId="0" fontId="13" fillId="7" borderId="32" xfId="0" applyFont="1" applyFill="1" applyBorder="1" applyAlignment="1" applyProtection="1">
      <alignment horizontal="center"/>
      <protection hidden="1"/>
    </xf>
    <xf numFmtId="0" fontId="0" fillId="7" borderId="3" xfId="0" applyFill="1" applyBorder="1" applyAlignment="1" applyProtection="1">
      <alignment horizontal="center"/>
      <protection hidden="1"/>
    </xf>
    <xf numFmtId="0" fontId="0" fillId="7" borderId="43" xfId="0" applyFill="1" applyBorder="1" applyAlignment="1" applyProtection="1">
      <alignment horizontal="center"/>
      <protection hidden="1"/>
    </xf>
    <xf numFmtId="165" fontId="13" fillId="7" borderId="60" xfId="0" applyNumberFormat="1" applyFont="1" applyFill="1" applyBorder="1" applyAlignment="1" applyProtection="1">
      <alignment horizontal="center"/>
      <protection hidden="1"/>
    </xf>
    <xf numFmtId="0" fontId="13" fillId="7" borderId="45" xfId="0" applyFont="1" applyFill="1" applyBorder="1" applyAlignment="1" applyProtection="1">
      <alignment horizontal="center"/>
      <protection hidden="1"/>
    </xf>
    <xf numFmtId="0" fontId="47" fillId="12" borderId="4" xfId="0" applyFont="1" applyFill="1" applyBorder="1" applyAlignment="1" applyProtection="1">
      <alignment horizontal="center"/>
      <protection hidden="1"/>
    </xf>
    <xf numFmtId="0" fontId="47" fillId="12" borderId="6" xfId="0" applyFont="1" applyFill="1" applyBorder="1" applyAlignment="1" applyProtection="1">
      <alignment horizontal="center"/>
      <protection hidden="1"/>
    </xf>
    <xf numFmtId="165" fontId="13" fillId="7" borderId="7" xfId="0" applyNumberFormat="1" applyFont="1" applyFill="1" applyBorder="1" applyAlignment="1" applyProtection="1">
      <alignment horizontal="center"/>
      <protection hidden="1"/>
    </xf>
    <xf numFmtId="0" fontId="13" fillId="7" borderId="37" xfId="0" applyFont="1" applyFill="1" applyBorder="1" applyAlignment="1" applyProtection="1">
      <alignment horizontal="center"/>
      <protection hidden="1"/>
    </xf>
    <xf numFmtId="0" fontId="0" fillId="7" borderId="36" xfId="0" applyFill="1" applyBorder="1" applyAlignment="1" applyProtection="1">
      <alignment horizontal="center"/>
      <protection hidden="1"/>
    </xf>
    <xf numFmtId="0" fontId="0" fillId="7" borderId="20" xfId="0" applyFill="1" applyBorder="1" applyAlignment="1" applyProtection="1">
      <alignment horizontal="center"/>
      <protection hidden="1"/>
    </xf>
    <xf numFmtId="0" fontId="44" fillId="0" borderId="0" xfId="0" applyFont="1" applyAlignment="1" applyProtection="1">
      <alignment horizontal="center" vertical="center" wrapText="1"/>
      <protection hidden="1"/>
    </xf>
    <xf numFmtId="0" fontId="1" fillId="7" borderId="11" xfId="0" applyFont="1" applyFill="1" applyBorder="1" applyAlignment="1" applyProtection="1">
      <alignment horizontal="center" vertical="center"/>
      <protection hidden="1"/>
    </xf>
    <xf numFmtId="0" fontId="68" fillId="0" borderId="0" xfId="0" applyFont="1" applyAlignment="1" applyProtection="1">
      <alignment horizontal="center"/>
      <protection hidden="1"/>
    </xf>
    <xf numFmtId="0" fontId="0" fillId="0" borderId="0" xfId="0" applyAlignment="1" applyProtection="1">
      <alignment horizontal="center"/>
      <protection hidden="1"/>
    </xf>
    <xf numFmtId="2" fontId="17" fillId="0" borderId="4" xfId="0" applyNumberFormat="1" applyFont="1" applyBorder="1" applyAlignment="1" applyProtection="1">
      <alignment horizontal="center"/>
      <protection hidden="1"/>
    </xf>
    <xf numFmtId="2" fontId="17" fillId="0" borderId="6" xfId="0" applyNumberFormat="1" applyFont="1" applyBorder="1" applyAlignment="1" applyProtection="1">
      <alignment horizontal="center"/>
      <protection hidden="1"/>
    </xf>
    <xf numFmtId="0" fontId="70" fillId="0" borderId="4" xfId="0" applyFont="1" applyBorder="1" applyAlignment="1" applyProtection="1">
      <alignment horizontal="center" vertical="center"/>
      <protection hidden="1"/>
    </xf>
    <xf numFmtId="0" fontId="70" fillId="0" borderId="5" xfId="0" applyFont="1" applyBorder="1" applyAlignment="1" applyProtection="1">
      <alignment horizontal="center" vertical="center"/>
      <protection hidden="1"/>
    </xf>
    <xf numFmtId="0" fontId="70" fillId="0" borderId="6" xfId="0" applyFont="1" applyBorder="1" applyAlignment="1" applyProtection="1">
      <alignment horizontal="center" vertical="center"/>
      <protection hidden="1"/>
    </xf>
    <xf numFmtId="0" fontId="16" fillId="12" borderId="11" xfId="0" applyFont="1" applyFill="1" applyBorder="1" applyAlignment="1" applyProtection="1">
      <alignment horizontal="center" vertical="center" wrapText="1"/>
      <protection hidden="1"/>
    </xf>
    <xf numFmtId="0" fontId="16" fillId="12" borderId="0" xfId="0" applyFont="1" applyFill="1" applyAlignment="1" applyProtection="1">
      <alignment horizontal="center" vertical="center" wrapText="1"/>
      <protection hidden="1"/>
    </xf>
    <xf numFmtId="0" fontId="16" fillId="12" borderId="18" xfId="0" applyFont="1" applyFill="1" applyBorder="1" applyAlignment="1" applyProtection="1">
      <alignment horizontal="center" vertical="center" wrapText="1"/>
      <protection hidden="1"/>
    </xf>
    <xf numFmtId="0" fontId="16" fillId="12" borderId="10" xfId="0" applyFont="1" applyFill="1" applyBorder="1" applyAlignment="1" applyProtection="1">
      <alignment horizontal="center" vertical="center" wrapText="1"/>
      <protection hidden="1"/>
    </xf>
    <xf numFmtId="0" fontId="44" fillId="12" borderId="21" xfId="0" applyFont="1" applyFill="1" applyBorder="1" applyAlignment="1" applyProtection="1">
      <alignment horizontal="center" vertical="center"/>
      <protection hidden="1"/>
    </xf>
    <xf numFmtId="0" fontId="44" fillId="12" borderId="23" xfId="0" applyFont="1" applyFill="1" applyBorder="1" applyAlignment="1" applyProtection="1">
      <alignment horizontal="center" vertical="center"/>
      <protection hidden="1"/>
    </xf>
    <xf numFmtId="0" fontId="44" fillId="12" borderId="21" xfId="0" applyFont="1" applyFill="1" applyBorder="1" applyAlignment="1" applyProtection="1">
      <alignment horizontal="center" vertical="center" wrapText="1"/>
      <protection hidden="1"/>
    </xf>
    <xf numFmtId="0" fontId="44" fillId="12" borderId="23" xfId="0"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44" fillId="12" borderId="18" xfId="0" applyFont="1" applyFill="1" applyBorder="1" applyAlignment="1" applyProtection="1">
      <alignment horizontal="center" vertical="center" wrapText="1"/>
      <protection hidden="1"/>
    </xf>
    <xf numFmtId="0" fontId="0" fillId="0" borderId="0" xfId="0" applyAlignment="1" applyProtection="1">
      <alignment horizontal="center"/>
      <protection locked="0" hidden="1"/>
    </xf>
    <xf numFmtId="165" fontId="13" fillId="7" borderId="1" xfId="0" applyNumberFormat="1" applyFont="1" applyFill="1" applyBorder="1" applyAlignment="1" applyProtection="1">
      <alignment horizontal="center"/>
      <protection hidden="1"/>
    </xf>
    <xf numFmtId="2" fontId="13" fillId="7" borderId="25" xfId="0" applyNumberFormat="1" applyFont="1" applyFill="1" applyBorder="1" applyAlignment="1" applyProtection="1">
      <alignment horizontal="center"/>
      <protection hidden="1"/>
    </xf>
    <xf numFmtId="167" fontId="13" fillId="7" borderId="1" xfId="0" applyNumberFormat="1" applyFont="1" applyFill="1" applyBorder="1" applyAlignment="1" applyProtection="1">
      <alignment horizontal="center"/>
      <protection hidden="1"/>
    </xf>
    <xf numFmtId="2" fontId="13" fillId="7" borderId="3" xfId="0" applyNumberFormat="1" applyFont="1" applyFill="1" applyBorder="1" applyAlignment="1" applyProtection="1">
      <alignment horizontal="center"/>
      <protection hidden="1"/>
    </xf>
    <xf numFmtId="2" fontId="13" fillId="7" borderId="32" xfId="0" applyNumberFormat="1" applyFont="1" applyFill="1" applyBorder="1" applyAlignment="1" applyProtection="1">
      <alignment horizontal="center"/>
      <protection hidden="1"/>
    </xf>
    <xf numFmtId="0" fontId="0" fillId="5" borderId="7" xfId="0" applyFill="1" applyBorder="1" applyAlignment="1" applyProtection="1">
      <alignment horizontal="center"/>
      <protection locked="0" hidden="1"/>
    </xf>
    <xf numFmtId="0" fontId="0" fillId="5" borderId="8" xfId="0" applyFill="1" applyBorder="1" applyAlignment="1" applyProtection="1">
      <alignment horizontal="center"/>
      <protection locked="0" hidden="1"/>
    </xf>
    <xf numFmtId="0" fontId="0" fillId="4" borderId="0" xfId="0" applyFill="1" applyAlignment="1">
      <alignment horizontal="center" vertical="center"/>
    </xf>
    <xf numFmtId="0" fontId="44" fillId="12" borderId="0" xfId="0" applyFont="1" applyFill="1" applyAlignment="1" applyProtection="1">
      <alignment horizontal="center" vertical="center"/>
      <protection hidden="1"/>
    </xf>
    <xf numFmtId="0" fontId="44" fillId="12" borderId="3" xfId="0" applyFont="1" applyFill="1" applyBorder="1" applyAlignment="1" applyProtection="1">
      <alignment horizontal="center"/>
      <protection hidden="1"/>
    </xf>
    <xf numFmtId="0" fontId="44" fillId="12" borderId="32" xfId="0" applyFont="1" applyFill="1" applyBorder="1" applyAlignment="1" applyProtection="1">
      <alignment horizontal="center"/>
      <protection hidden="1"/>
    </xf>
    <xf numFmtId="0" fontId="0" fillId="4" borderId="3" xfId="0" applyFill="1" applyBorder="1" applyAlignment="1" applyProtection="1">
      <alignment horizontal="center"/>
      <protection hidden="1"/>
    </xf>
    <xf numFmtId="0" fontId="0" fillId="4" borderId="32" xfId="0" applyFill="1" applyBorder="1" applyAlignment="1" applyProtection="1">
      <alignment horizontal="center"/>
      <protection hidden="1"/>
    </xf>
    <xf numFmtId="2" fontId="0" fillId="4" borderId="3" xfId="0" applyNumberFormat="1" applyFill="1" applyBorder="1" applyAlignment="1" applyProtection="1">
      <alignment horizontal="center"/>
      <protection hidden="1"/>
    </xf>
    <xf numFmtId="2" fontId="0" fillId="4" borderId="32" xfId="0" applyNumberFormat="1" applyFill="1" applyBorder="1" applyAlignment="1" applyProtection="1">
      <alignment horizontal="center"/>
      <protection hidden="1"/>
    </xf>
    <xf numFmtId="165" fontId="13" fillId="0" borderId="60" xfId="0" applyNumberFormat="1" applyFont="1" applyBorder="1" applyAlignment="1" applyProtection="1">
      <alignment horizontal="center"/>
      <protection hidden="1"/>
    </xf>
    <xf numFmtId="0" fontId="13" fillId="0" borderId="45" xfId="0" applyFont="1" applyBorder="1" applyAlignment="1" applyProtection="1">
      <alignment horizontal="center"/>
      <protection hidden="1"/>
    </xf>
    <xf numFmtId="0" fontId="0" fillId="0" borderId="43" xfId="0" applyBorder="1" applyAlignment="1" applyProtection="1">
      <alignment horizontal="center"/>
      <protection hidden="1"/>
    </xf>
    <xf numFmtId="0" fontId="44" fillId="12" borderId="36" xfId="0" applyFont="1" applyFill="1" applyBorder="1" applyAlignment="1" applyProtection="1">
      <alignment horizontal="center" vertical="center"/>
      <protection hidden="1"/>
    </xf>
    <xf numFmtId="0" fontId="44" fillId="12" borderId="8" xfId="0" applyFont="1" applyFill="1" applyBorder="1" applyAlignment="1" applyProtection="1">
      <alignment horizontal="center" vertical="center"/>
      <protection hidden="1"/>
    </xf>
    <xf numFmtId="0" fontId="44" fillId="12" borderId="37" xfId="0" applyFont="1" applyFill="1" applyBorder="1" applyAlignment="1" applyProtection="1">
      <alignment horizontal="center" vertical="center"/>
      <protection hidden="1"/>
    </xf>
    <xf numFmtId="0" fontId="44" fillId="12" borderId="33" xfId="0" applyFont="1" applyFill="1" applyBorder="1" applyAlignment="1" applyProtection="1">
      <alignment horizontal="center" vertical="center"/>
      <protection hidden="1"/>
    </xf>
    <xf numFmtId="0" fontId="44" fillId="12" borderId="35" xfId="0" applyFont="1" applyFill="1" applyBorder="1" applyAlignment="1" applyProtection="1">
      <alignment horizontal="center" vertical="center"/>
      <protection hidden="1"/>
    </xf>
    <xf numFmtId="0" fontId="44" fillId="12" borderId="34" xfId="0" applyFont="1" applyFill="1" applyBorder="1" applyAlignment="1" applyProtection="1">
      <alignment horizontal="center" vertical="center"/>
      <protection hidden="1"/>
    </xf>
    <xf numFmtId="0" fontId="48" fillId="12" borderId="41" xfId="0" applyFont="1" applyFill="1" applyBorder="1" applyAlignment="1">
      <alignment horizontal="center"/>
    </xf>
    <xf numFmtId="0" fontId="48" fillId="12" borderId="46" xfId="0" applyFont="1" applyFill="1" applyBorder="1" applyAlignment="1">
      <alignment horizontal="center"/>
    </xf>
    <xf numFmtId="0" fontId="48" fillId="12" borderId="42" xfId="0" applyFont="1" applyFill="1" applyBorder="1" applyAlignment="1">
      <alignment horizontal="center"/>
    </xf>
    <xf numFmtId="0" fontId="44" fillId="12" borderId="14" xfId="0" applyFont="1" applyFill="1" applyBorder="1" applyAlignment="1">
      <alignment horizontal="center" vertical="center"/>
    </xf>
    <xf numFmtId="0" fontId="44" fillId="12" borderId="16" xfId="0" applyFont="1" applyFill="1" applyBorder="1" applyAlignment="1">
      <alignment horizontal="center" vertical="center"/>
    </xf>
    <xf numFmtId="0" fontId="48" fillId="12" borderId="3" xfId="0" applyFont="1" applyFill="1" applyBorder="1" applyAlignment="1">
      <alignment horizontal="center"/>
    </xf>
    <xf numFmtId="0" fontId="48" fillId="12" borderId="32" xfId="0" applyFont="1" applyFill="1" applyBorder="1" applyAlignment="1">
      <alignment horizontal="center"/>
    </xf>
    <xf numFmtId="0" fontId="0" fillId="4" borderId="3" xfId="0" applyFill="1" applyBorder="1" applyAlignment="1">
      <alignment horizontal="left"/>
    </xf>
    <xf numFmtId="0" fontId="0" fillId="4" borderId="12" xfId="0" applyFill="1" applyBorder="1" applyAlignment="1">
      <alignment horizontal="left"/>
    </xf>
    <xf numFmtId="0" fontId="0" fillId="4" borderId="32" xfId="0" applyFill="1" applyBorder="1" applyAlignment="1">
      <alignment horizontal="left"/>
    </xf>
    <xf numFmtId="0" fontId="0" fillId="4" borderId="3" xfId="0" applyFill="1" applyBorder="1" applyAlignment="1">
      <alignment horizontal="center"/>
    </xf>
    <xf numFmtId="0" fontId="0" fillId="4" borderId="32" xfId="0" applyFill="1" applyBorder="1" applyAlignment="1">
      <alignment horizontal="center"/>
    </xf>
    <xf numFmtId="0" fontId="1" fillId="4" borderId="53" xfId="0" applyFont="1" applyFill="1" applyBorder="1" applyAlignment="1">
      <alignment horizontal="center" vertical="center"/>
    </xf>
    <xf numFmtId="0" fontId="1" fillId="4" borderId="15" xfId="0" applyFont="1" applyFill="1" applyBorder="1" applyAlignment="1">
      <alignment horizontal="center" vertical="center"/>
    </xf>
    <xf numFmtId="0" fontId="0" fillId="4" borderId="30" xfId="0" applyFill="1" applyBorder="1" applyAlignment="1">
      <alignment horizontal="left" wrapText="1"/>
    </xf>
    <xf numFmtId="0" fontId="0" fillId="4" borderId="31" xfId="0" applyFill="1" applyBorder="1" applyAlignment="1">
      <alignment horizontal="left" wrapText="1"/>
    </xf>
    <xf numFmtId="0" fontId="0" fillId="4" borderId="45" xfId="0" applyFill="1" applyBorder="1" applyAlignment="1">
      <alignment horizontal="left" wrapText="1"/>
    </xf>
    <xf numFmtId="0" fontId="0" fillId="4" borderId="33" xfId="0" applyFill="1" applyBorder="1" applyAlignment="1">
      <alignment horizontal="left" wrapText="1"/>
    </xf>
    <xf numFmtId="0" fontId="0" fillId="4" borderId="35" xfId="0" applyFill="1" applyBorder="1" applyAlignment="1">
      <alignment horizontal="left" wrapText="1"/>
    </xf>
    <xf numFmtId="0" fontId="0" fillId="4" borderId="34" xfId="0" applyFill="1" applyBorder="1" applyAlignment="1">
      <alignment horizontal="left" wrapText="1"/>
    </xf>
    <xf numFmtId="0" fontId="0" fillId="4" borderId="25" xfId="0" applyFill="1" applyBorder="1" applyAlignment="1">
      <alignment horizontal="center" vertical="center"/>
    </xf>
    <xf numFmtId="0" fontId="0" fillId="4" borderId="2" xfId="0" applyFill="1" applyBorder="1" applyAlignment="1">
      <alignment horizontal="center" vertical="center"/>
    </xf>
    <xf numFmtId="0" fontId="0" fillId="4" borderId="30" xfId="0" applyFill="1" applyBorder="1" applyAlignment="1">
      <alignment horizontal="center" vertical="center"/>
    </xf>
    <xf numFmtId="0" fontId="0" fillId="4" borderId="45"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165" fontId="0" fillId="0" borderId="0" xfId="0" applyNumberFormat="1" applyAlignment="1" applyProtection="1">
      <alignment horizontal="center"/>
      <protection locked="0" hidden="1"/>
    </xf>
    <xf numFmtId="165" fontId="13" fillId="7" borderId="33" xfId="0" applyNumberFormat="1" applyFont="1" applyFill="1" applyBorder="1" applyAlignment="1" applyProtection="1">
      <alignment horizontal="center"/>
      <protection hidden="1"/>
    </xf>
    <xf numFmtId="165" fontId="13" fillId="7" borderId="34" xfId="0" applyNumberFormat="1" applyFont="1" applyFill="1" applyBorder="1" applyAlignment="1" applyProtection="1">
      <alignment horizontal="center"/>
      <protection hidden="1"/>
    </xf>
    <xf numFmtId="2" fontId="13" fillId="7" borderId="1" xfId="0" applyNumberFormat="1" applyFont="1" applyFill="1" applyBorder="1" applyAlignment="1" applyProtection="1">
      <alignment horizontal="center"/>
      <protection hidden="1"/>
    </xf>
    <xf numFmtId="167" fontId="13" fillId="7" borderId="3" xfId="0" applyNumberFormat="1" applyFont="1" applyFill="1" applyBorder="1" applyAlignment="1" applyProtection="1">
      <alignment horizontal="center"/>
      <protection hidden="1"/>
    </xf>
    <xf numFmtId="167" fontId="13" fillId="7" borderId="32" xfId="0" applyNumberFormat="1" applyFont="1" applyFill="1" applyBorder="1" applyAlignment="1" applyProtection="1">
      <alignment horizontal="center"/>
      <protection hidden="1"/>
    </xf>
    <xf numFmtId="167" fontId="13" fillId="7" borderId="33" xfId="0" applyNumberFormat="1" applyFont="1" applyFill="1" applyBorder="1" applyAlignment="1" applyProtection="1">
      <alignment horizontal="center"/>
      <protection hidden="1"/>
    </xf>
    <xf numFmtId="167" fontId="13" fillId="7" borderId="34" xfId="0" applyNumberFormat="1" applyFont="1" applyFill="1" applyBorder="1" applyAlignment="1" applyProtection="1">
      <alignment horizontal="center"/>
      <protection hidden="1"/>
    </xf>
    <xf numFmtId="0" fontId="44" fillId="0" borderId="0" xfId="0" applyFont="1" applyAlignment="1" applyProtection="1">
      <alignment horizontal="center" vertical="center"/>
      <protection locked="0" hidden="1"/>
    </xf>
    <xf numFmtId="0" fontId="51" fillId="7" borderId="3" xfId="0" applyFont="1" applyFill="1" applyBorder="1" applyAlignment="1" applyProtection="1">
      <alignment horizontal="center"/>
      <protection hidden="1"/>
    </xf>
    <xf numFmtId="0" fontId="51" fillId="7" borderId="12" xfId="0" applyFont="1" applyFill="1" applyBorder="1" applyAlignment="1" applyProtection="1">
      <alignment horizontal="center"/>
      <protection hidden="1"/>
    </xf>
    <xf numFmtId="0" fontId="51" fillId="7" borderId="32" xfId="0" applyFont="1" applyFill="1" applyBorder="1" applyAlignment="1" applyProtection="1">
      <alignment horizontal="center"/>
      <protection hidden="1"/>
    </xf>
    <xf numFmtId="0" fontId="10" fillId="0" borderId="0" xfId="0" applyFont="1" applyAlignment="1" applyProtection="1">
      <alignment horizontal="center"/>
      <protection hidden="1"/>
    </xf>
    <xf numFmtId="165" fontId="13" fillId="7" borderId="29" xfId="0" applyNumberFormat="1" applyFont="1" applyFill="1" applyBorder="1" applyAlignment="1" applyProtection="1">
      <alignment horizontal="center"/>
      <protection hidden="1"/>
    </xf>
    <xf numFmtId="165" fontId="13" fillId="7" borderId="38" xfId="0" applyNumberFormat="1" applyFont="1" applyFill="1" applyBorder="1" applyAlignment="1" applyProtection="1">
      <alignment horizontal="center"/>
      <protection hidden="1"/>
    </xf>
    <xf numFmtId="2" fontId="13" fillId="7" borderId="29" xfId="0" applyNumberFormat="1" applyFont="1" applyFill="1" applyBorder="1" applyAlignment="1" applyProtection="1">
      <alignment horizontal="center"/>
      <protection hidden="1"/>
    </xf>
    <xf numFmtId="2" fontId="13" fillId="7" borderId="38" xfId="0" applyNumberFormat="1" applyFont="1" applyFill="1" applyBorder="1" applyAlignment="1" applyProtection="1">
      <alignment horizontal="center"/>
      <protection hidden="1"/>
    </xf>
    <xf numFmtId="167" fontId="13" fillId="7" borderId="29" xfId="0" applyNumberFormat="1" applyFont="1" applyFill="1" applyBorder="1" applyAlignment="1" applyProtection="1">
      <alignment horizontal="center"/>
      <protection hidden="1"/>
    </xf>
    <xf numFmtId="167" fontId="13" fillId="7" borderId="38" xfId="0" applyNumberFormat="1" applyFont="1" applyFill="1" applyBorder="1" applyAlignment="1" applyProtection="1">
      <alignment horizontal="center"/>
      <protection hidden="1"/>
    </xf>
    <xf numFmtId="0" fontId="1" fillId="4" borderId="11" xfId="0" applyFont="1" applyFill="1" applyBorder="1" applyAlignment="1" applyProtection="1">
      <alignment horizontal="center" vertical="center"/>
      <protection hidden="1"/>
    </xf>
    <xf numFmtId="0" fontId="1" fillId="4" borderId="33" xfId="0" applyFont="1" applyFill="1" applyBorder="1" applyAlignment="1" applyProtection="1">
      <alignment horizontal="center" vertical="center"/>
      <protection hidden="1"/>
    </xf>
    <xf numFmtId="0" fontId="1" fillId="4" borderId="34" xfId="0" applyFont="1" applyFill="1" applyBorder="1" applyAlignment="1" applyProtection="1">
      <alignment horizontal="center" vertical="center"/>
      <protection hidden="1"/>
    </xf>
    <xf numFmtId="0" fontId="44" fillId="12" borderId="12" xfId="0" applyFont="1" applyFill="1" applyBorder="1" applyAlignment="1" applyProtection="1">
      <alignment horizontal="center"/>
      <protection hidden="1"/>
    </xf>
    <xf numFmtId="0" fontId="8" fillId="4" borderId="3" xfId="0" applyFont="1" applyFill="1" applyBorder="1" applyAlignment="1" applyProtection="1">
      <alignment horizontal="center" vertical="center"/>
      <protection hidden="1"/>
    </xf>
    <xf numFmtId="0" fontId="8" fillId="4" borderId="12" xfId="0" applyFont="1" applyFill="1" applyBorder="1" applyAlignment="1" applyProtection="1">
      <alignment horizontal="center" vertical="center"/>
      <protection hidden="1"/>
    </xf>
    <xf numFmtId="0" fontId="8" fillId="4" borderId="32" xfId="0" applyFont="1"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0" fillId="4" borderId="32" xfId="0" applyFill="1" applyBorder="1" applyAlignment="1" applyProtection="1">
      <alignment horizontal="center" vertical="center"/>
      <protection hidden="1"/>
    </xf>
    <xf numFmtId="1" fontId="0" fillId="4" borderId="3" xfId="0" applyNumberFormat="1" applyFill="1" applyBorder="1" applyAlignment="1" applyProtection="1">
      <alignment horizontal="center"/>
      <protection hidden="1"/>
    </xf>
    <xf numFmtId="1" fontId="0" fillId="4" borderId="12" xfId="0" applyNumberFormat="1" applyFill="1" applyBorder="1" applyAlignment="1" applyProtection="1">
      <alignment horizontal="center"/>
      <protection hidden="1"/>
    </xf>
    <xf numFmtId="1" fontId="0" fillId="4" borderId="32" xfId="0" applyNumberFormat="1" applyFill="1" applyBorder="1" applyAlignment="1" applyProtection="1">
      <alignment horizontal="center"/>
      <protection hidden="1"/>
    </xf>
    <xf numFmtId="165" fontId="13" fillId="0" borderId="52" xfId="0" applyNumberFormat="1" applyFont="1" applyBorder="1" applyAlignment="1" applyProtection="1">
      <alignment horizontal="center"/>
      <protection hidden="1"/>
    </xf>
    <xf numFmtId="0" fontId="13" fillId="0" borderId="32" xfId="0" applyFont="1" applyBorder="1" applyAlignment="1" applyProtection="1">
      <alignment horizontal="center"/>
      <protection hidden="1"/>
    </xf>
    <xf numFmtId="0" fontId="16" fillId="12" borderId="4" xfId="0" applyFont="1" applyFill="1" applyBorder="1" applyAlignment="1" applyProtection="1">
      <alignment horizontal="center"/>
      <protection hidden="1"/>
    </xf>
    <xf numFmtId="0" fontId="16" fillId="12" borderId="65" xfId="0" applyFont="1" applyFill="1" applyBorder="1" applyAlignment="1" applyProtection="1">
      <alignment horizontal="center"/>
      <protection hidden="1"/>
    </xf>
    <xf numFmtId="0" fontId="16" fillId="12" borderId="66" xfId="0" applyFont="1" applyFill="1" applyBorder="1" applyAlignment="1" applyProtection="1">
      <alignment horizontal="center"/>
      <protection hidden="1"/>
    </xf>
    <xf numFmtId="0" fontId="16" fillId="12" borderId="6" xfId="0" applyFont="1" applyFill="1" applyBorder="1" applyAlignment="1" applyProtection="1">
      <alignment horizontal="center"/>
      <protection hidden="1"/>
    </xf>
    <xf numFmtId="0" fontId="13" fillId="0" borderId="61" xfId="0" applyFont="1" applyBorder="1" applyAlignment="1" applyProtection="1">
      <alignment horizontal="center"/>
      <protection hidden="1"/>
    </xf>
    <xf numFmtId="0" fontId="13" fillId="0" borderId="34" xfId="0" applyFont="1" applyBorder="1" applyAlignment="1" applyProtection="1">
      <alignment horizontal="center"/>
      <protection hidden="1"/>
    </xf>
    <xf numFmtId="0" fontId="0" fillId="0" borderId="33" xfId="0" applyBorder="1" applyAlignment="1" applyProtection="1">
      <alignment horizontal="center"/>
      <protection hidden="1"/>
    </xf>
    <xf numFmtId="0" fontId="0" fillId="0" borderId="62" xfId="0" applyBorder="1" applyAlignment="1" applyProtection="1">
      <alignment horizontal="center"/>
      <protection hidden="1"/>
    </xf>
    <xf numFmtId="0" fontId="13" fillId="0" borderId="52" xfId="0" applyFont="1" applyBorder="1" applyAlignment="1" applyProtection="1">
      <alignment horizontal="center"/>
      <protection hidden="1"/>
    </xf>
    <xf numFmtId="0" fontId="13" fillId="0" borderId="63" xfId="0" applyFont="1" applyBorder="1" applyAlignment="1" applyProtection="1">
      <alignment horizontal="center"/>
      <protection hidden="1"/>
    </xf>
    <xf numFmtId="0" fontId="13" fillId="0" borderId="40" xfId="0" applyFont="1" applyBorder="1" applyAlignment="1" applyProtection="1">
      <alignment horizontal="center"/>
      <protection hidden="1"/>
    </xf>
    <xf numFmtId="0" fontId="0" fillId="0" borderId="39" xfId="0" applyBorder="1" applyAlignment="1" applyProtection="1">
      <alignment horizontal="center"/>
      <protection hidden="1"/>
    </xf>
    <xf numFmtId="0" fontId="0" fillId="0" borderId="64" xfId="0" applyBorder="1" applyAlignment="1" applyProtection="1">
      <alignment horizontal="center"/>
      <protection hidden="1"/>
    </xf>
    <xf numFmtId="0" fontId="48" fillId="12" borderId="13" xfId="0" applyFont="1" applyFill="1" applyBorder="1" applyAlignment="1">
      <alignment horizontal="center" vertical="top" wrapText="1"/>
    </xf>
    <xf numFmtId="0" fontId="48" fillId="12" borderId="15" xfId="0" applyFont="1" applyFill="1" applyBorder="1" applyAlignment="1">
      <alignment horizontal="center" vertical="top" wrapText="1"/>
    </xf>
    <xf numFmtId="165" fontId="13" fillId="0" borderId="69" xfId="0" applyNumberFormat="1" applyFont="1" applyBorder="1" applyAlignment="1" applyProtection="1">
      <alignment horizontal="center"/>
      <protection hidden="1"/>
    </xf>
    <xf numFmtId="0" fontId="13" fillId="0" borderId="42" xfId="0" applyFont="1" applyBorder="1" applyAlignment="1" applyProtection="1">
      <alignment horizontal="center"/>
      <protection hidden="1"/>
    </xf>
    <xf numFmtId="0" fontId="0" fillId="0" borderId="36" xfId="0" applyBorder="1" applyAlignment="1" applyProtection="1">
      <alignment horizontal="center"/>
      <protection hidden="1"/>
    </xf>
    <xf numFmtId="0" fontId="0" fillId="0" borderId="20" xfId="0" applyBorder="1" applyAlignment="1" applyProtection="1">
      <alignment horizontal="center"/>
      <protection hidden="1"/>
    </xf>
    <xf numFmtId="165" fontId="13" fillId="0" borderId="18" xfId="0" applyNumberFormat="1" applyFont="1" applyBorder="1" applyAlignment="1" applyProtection="1">
      <alignment horizontal="center"/>
      <protection hidden="1"/>
    </xf>
    <xf numFmtId="0" fontId="13" fillId="0" borderId="51" xfId="0" applyFont="1" applyBorder="1" applyAlignment="1" applyProtection="1">
      <alignment horizontal="center"/>
      <protection hidden="1"/>
    </xf>
    <xf numFmtId="0" fontId="0" fillId="0" borderId="57" xfId="0" applyBorder="1" applyAlignment="1" applyProtection="1">
      <alignment horizontal="center"/>
      <protection hidden="1"/>
    </xf>
    <xf numFmtId="0" fontId="0" fillId="0" borderId="19" xfId="0" applyBorder="1" applyAlignment="1" applyProtection="1">
      <alignment horizontal="center"/>
      <protection hidden="1"/>
    </xf>
    <xf numFmtId="0" fontId="44" fillId="12" borderId="10" xfId="0" applyFont="1" applyFill="1" applyBorder="1" applyAlignment="1" applyProtection="1">
      <alignment horizontal="center" vertical="center"/>
      <protection hidden="1"/>
    </xf>
    <xf numFmtId="0" fontId="13" fillId="4" borderId="27" xfId="0" applyFont="1" applyFill="1" applyBorder="1" applyAlignment="1" applyProtection="1">
      <alignment horizontal="center" vertical="center"/>
      <protection hidden="1"/>
    </xf>
    <xf numFmtId="0" fontId="13" fillId="4" borderId="2" xfId="0" applyFont="1" applyFill="1" applyBorder="1" applyAlignment="1" applyProtection="1">
      <alignment horizontal="center" vertical="center"/>
      <protection hidden="1"/>
    </xf>
    <xf numFmtId="0" fontId="26" fillId="0" borderId="29" xfId="0" applyFont="1" applyBorder="1" applyAlignment="1" applyProtection="1">
      <alignment horizontal="left" vertical="center" wrapText="1"/>
      <protection hidden="1"/>
    </xf>
    <xf numFmtId="0" fontId="26" fillId="0" borderId="38"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34" xfId="0" applyFont="1" applyBorder="1" applyAlignment="1" applyProtection="1">
      <alignment horizontal="left" vertical="center" wrapText="1"/>
      <protection hidden="1"/>
    </xf>
    <xf numFmtId="0" fontId="0" fillId="0" borderId="29"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165" fontId="0" fillId="0" borderId="0" xfId="0" applyNumberFormat="1" applyAlignment="1" applyProtection="1">
      <alignment horizontal="center" vertical="center"/>
      <protection locked="0" hidden="1"/>
    </xf>
    <xf numFmtId="0" fontId="47" fillId="0" borderId="0" xfId="0" applyFont="1" applyAlignment="1" applyProtection="1">
      <alignment horizontal="center"/>
      <protection hidden="1"/>
    </xf>
    <xf numFmtId="165" fontId="13" fillId="0" borderId="0" xfId="0" applyNumberFormat="1" applyFont="1" applyAlignment="1" applyProtection="1">
      <alignment horizontal="center"/>
      <protection hidden="1"/>
    </xf>
    <xf numFmtId="0" fontId="13" fillId="0" borderId="0" xfId="0" applyFont="1" applyAlignment="1" applyProtection="1">
      <alignment horizontal="center"/>
      <protection hidden="1"/>
    </xf>
    <xf numFmtId="0" fontId="13" fillId="4" borderId="25" xfId="0" applyFont="1" applyFill="1" applyBorder="1" applyAlignment="1" applyProtection="1">
      <alignment horizontal="center" vertical="center"/>
      <protection hidden="1"/>
    </xf>
    <xf numFmtId="0" fontId="0" fillId="0" borderId="30" xfId="0" applyBorder="1" applyAlignment="1" applyProtection="1">
      <alignment horizontal="left" vertical="center" wrapText="1"/>
      <protection hidden="1"/>
    </xf>
    <xf numFmtId="0" fontId="0" fillId="0" borderId="45"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0" fillId="0" borderId="34" xfId="0" applyBorder="1" applyAlignment="1" applyProtection="1">
      <alignment horizontal="left" vertical="center" wrapText="1"/>
      <protection hidden="1"/>
    </xf>
    <xf numFmtId="0" fontId="0" fillId="0" borderId="30"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34" xfId="0" applyBorder="1" applyAlignment="1" applyProtection="1">
      <alignment horizontal="center"/>
      <protection hidden="1"/>
    </xf>
    <xf numFmtId="0" fontId="26" fillId="0" borderId="30" xfId="0" applyFont="1" applyBorder="1" applyAlignment="1" applyProtection="1">
      <alignment horizontal="left" vertical="center" wrapText="1"/>
      <protection hidden="1"/>
    </xf>
    <xf numFmtId="0" fontId="26" fillId="0" borderId="45" xfId="0" applyFont="1" applyBorder="1" applyAlignment="1" applyProtection="1">
      <alignment horizontal="left" vertical="center" wrapText="1"/>
      <protection hidden="1"/>
    </xf>
    <xf numFmtId="165" fontId="0" fillId="0" borderId="63" xfId="0" applyNumberFormat="1" applyBorder="1" applyAlignment="1" applyProtection="1">
      <alignment horizontal="center"/>
      <protection hidden="1"/>
    </xf>
    <xf numFmtId="0" fontId="0" fillId="0" borderId="40" xfId="0" applyBorder="1" applyAlignment="1" applyProtection="1">
      <alignment horizontal="center"/>
      <protection hidden="1"/>
    </xf>
    <xf numFmtId="0" fontId="43" fillId="0" borderId="0" xfId="0" applyFont="1" applyAlignment="1">
      <alignment horizontal="center"/>
    </xf>
    <xf numFmtId="0" fontId="43" fillId="4" borderId="0" xfId="0" applyFont="1" applyFill="1" applyAlignment="1" applyProtection="1">
      <alignment horizontal="center" vertical="center" wrapText="1"/>
      <protection hidden="1"/>
    </xf>
    <xf numFmtId="165" fontId="13" fillId="0" borderId="7" xfId="0" applyNumberFormat="1" applyFont="1" applyBorder="1" applyAlignment="1" applyProtection="1">
      <alignment horizontal="center"/>
      <protection hidden="1"/>
    </xf>
    <xf numFmtId="0" fontId="13" fillId="0" borderId="37" xfId="0" applyFont="1" applyBorder="1" applyAlignment="1" applyProtection="1">
      <alignment horizontal="center"/>
      <protection hidden="1"/>
    </xf>
    <xf numFmtId="0" fontId="51" fillId="7" borderId="29" xfId="0" applyFont="1" applyFill="1" applyBorder="1" applyAlignment="1" applyProtection="1">
      <alignment horizontal="center"/>
      <protection hidden="1"/>
    </xf>
    <xf numFmtId="0" fontId="51" fillId="7" borderId="0" xfId="0" applyFont="1" applyFill="1" applyAlignment="1" applyProtection="1">
      <alignment horizontal="center"/>
      <protection hidden="1"/>
    </xf>
    <xf numFmtId="0" fontId="51" fillId="7" borderId="38" xfId="0" applyFont="1" applyFill="1" applyBorder="1" applyAlignment="1" applyProtection="1">
      <alignment horizontal="center"/>
      <protection hidden="1"/>
    </xf>
    <xf numFmtId="0" fontId="51" fillId="7" borderId="33" xfId="0" applyFont="1" applyFill="1" applyBorder="1" applyAlignment="1" applyProtection="1">
      <alignment horizontal="center"/>
      <protection hidden="1"/>
    </xf>
    <xf numFmtId="0" fontId="51" fillId="7" borderId="34" xfId="0" applyFont="1" applyFill="1" applyBorder="1" applyAlignment="1" applyProtection="1">
      <alignment horizontal="center"/>
      <protection hidden="1"/>
    </xf>
    <xf numFmtId="165" fontId="13" fillId="35" borderId="52" xfId="0" applyNumberFormat="1" applyFont="1" applyFill="1" applyBorder="1" applyAlignment="1" applyProtection="1">
      <alignment horizontal="center"/>
      <protection hidden="1"/>
    </xf>
    <xf numFmtId="0" fontId="13" fillId="35" borderId="32" xfId="0" applyFont="1" applyFill="1" applyBorder="1" applyAlignment="1" applyProtection="1">
      <alignment horizontal="center"/>
      <protection hidden="1"/>
    </xf>
    <xf numFmtId="1" fontId="0" fillId="7" borderId="3" xfId="0" applyNumberFormat="1" applyFill="1" applyBorder="1" applyAlignment="1" applyProtection="1">
      <alignment horizontal="center"/>
      <protection hidden="1"/>
    </xf>
    <xf numFmtId="1" fontId="0" fillId="7" borderId="43" xfId="0" applyNumberFormat="1" applyFill="1" applyBorder="1" applyAlignment="1" applyProtection="1">
      <alignment horizontal="center"/>
      <protection hidden="1"/>
    </xf>
    <xf numFmtId="165" fontId="13" fillId="35" borderId="18" xfId="0" applyNumberFormat="1" applyFont="1" applyFill="1" applyBorder="1" applyAlignment="1" applyProtection="1">
      <alignment horizontal="center"/>
      <protection hidden="1"/>
    </xf>
    <xf numFmtId="0" fontId="13" fillId="35" borderId="51" xfId="0" applyFont="1" applyFill="1" applyBorder="1" applyAlignment="1" applyProtection="1">
      <alignment horizontal="center"/>
      <protection hidden="1"/>
    </xf>
    <xf numFmtId="1" fontId="0" fillId="7" borderId="57" xfId="0" applyNumberFormat="1" applyFill="1" applyBorder="1" applyAlignment="1" applyProtection="1">
      <alignment horizontal="center"/>
      <protection hidden="1"/>
    </xf>
    <xf numFmtId="1" fontId="0" fillId="7" borderId="19" xfId="0" applyNumberFormat="1" applyFill="1" applyBorder="1" applyAlignment="1" applyProtection="1">
      <alignment horizontal="center"/>
      <protection hidden="1"/>
    </xf>
    <xf numFmtId="0" fontId="16" fillId="12" borderId="5" xfId="0" applyFont="1" applyFill="1" applyBorder="1" applyAlignment="1" applyProtection="1">
      <alignment horizontal="center"/>
      <protection hidden="1"/>
    </xf>
    <xf numFmtId="165" fontId="13" fillId="35" borderId="7" xfId="0" applyNumberFormat="1" applyFont="1" applyFill="1" applyBorder="1" applyAlignment="1" applyProtection="1">
      <alignment horizontal="center"/>
      <protection hidden="1"/>
    </xf>
    <xf numFmtId="0" fontId="13" fillId="35" borderId="37" xfId="0" applyFont="1" applyFill="1" applyBorder="1" applyAlignment="1" applyProtection="1">
      <alignment horizontal="center"/>
      <protection hidden="1"/>
    </xf>
    <xf numFmtId="1" fontId="0" fillId="7" borderId="36" xfId="0" applyNumberFormat="1" applyFill="1" applyBorder="1" applyAlignment="1" applyProtection="1">
      <alignment horizontal="center"/>
      <protection hidden="1"/>
    </xf>
    <xf numFmtId="1" fontId="0" fillId="7" borderId="20" xfId="0" applyNumberFormat="1" applyFill="1" applyBorder="1" applyAlignment="1" applyProtection="1">
      <alignment horizontal="center"/>
      <protection hidden="1"/>
    </xf>
    <xf numFmtId="0" fontId="0" fillId="4" borderId="54" xfId="0" applyFill="1" applyBorder="1" applyAlignment="1">
      <alignment horizontal="center" vertical="center"/>
    </xf>
    <xf numFmtId="0" fontId="0" fillId="4" borderId="16" xfId="0" applyFill="1" applyBorder="1" applyAlignment="1">
      <alignment horizontal="center" vertical="center"/>
    </xf>
    <xf numFmtId="0" fontId="1" fillId="4" borderId="58" xfId="0" applyFont="1" applyFill="1" applyBorder="1" applyAlignment="1">
      <alignment horizontal="center" vertical="center"/>
    </xf>
    <xf numFmtId="0" fontId="0" fillId="4" borderId="30" xfId="0" applyFill="1" applyBorder="1" applyAlignment="1">
      <alignment horizontal="left" vertical="center" wrapText="1"/>
    </xf>
    <xf numFmtId="0" fontId="0" fillId="4" borderId="31" xfId="0" applyFill="1" applyBorder="1" applyAlignment="1">
      <alignment horizontal="left" vertical="center" wrapText="1"/>
    </xf>
    <xf numFmtId="0" fontId="0" fillId="4" borderId="45" xfId="0" applyFill="1" applyBorder="1" applyAlignment="1">
      <alignment horizontal="left" vertical="center" wrapText="1"/>
    </xf>
    <xf numFmtId="0" fontId="0" fillId="4" borderId="29" xfId="0" applyFill="1" applyBorder="1" applyAlignment="1">
      <alignment horizontal="left" vertical="center" wrapText="1"/>
    </xf>
    <xf numFmtId="0" fontId="0" fillId="4" borderId="0" xfId="0" applyFill="1" applyAlignment="1">
      <alignment horizontal="left" vertical="center" wrapText="1"/>
    </xf>
    <xf numFmtId="0" fontId="0" fillId="4" borderId="38" xfId="0" applyFill="1" applyBorder="1" applyAlignment="1">
      <alignment horizontal="left" vertical="center" wrapText="1"/>
    </xf>
    <xf numFmtId="0" fontId="0" fillId="4" borderId="33" xfId="0" applyFill="1" applyBorder="1" applyAlignment="1">
      <alignment horizontal="left" vertical="center" wrapText="1"/>
    </xf>
    <xf numFmtId="0" fontId="0" fillId="4" borderId="35" xfId="0" applyFill="1" applyBorder="1" applyAlignment="1">
      <alignment horizontal="left" vertical="center" wrapText="1"/>
    </xf>
    <xf numFmtId="0" fontId="0" fillId="4" borderId="34" xfId="0" applyFill="1" applyBorder="1" applyAlignment="1">
      <alignment horizontal="left" vertical="center" wrapText="1"/>
    </xf>
    <xf numFmtId="0" fontId="0" fillId="4" borderId="27" xfId="0" applyFill="1" applyBorder="1" applyAlignment="1">
      <alignment horizontal="center" vertical="center"/>
    </xf>
    <xf numFmtId="0" fontId="0" fillId="4" borderId="29" xfId="0" applyFill="1" applyBorder="1" applyAlignment="1">
      <alignment horizontal="center" vertical="center"/>
    </xf>
    <xf numFmtId="0" fontId="0" fillId="4" borderId="38" xfId="0" applyFill="1" applyBorder="1" applyAlignment="1">
      <alignment horizontal="center" vertical="center"/>
    </xf>
    <xf numFmtId="0" fontId="0" fillId="4" borderId="59" xfId="0" applyFill="1" applyBorder="1" applyAlignment="1">
      <alignment horizontal="center" vertical="center"/>
    </xf>
    <xf numFmtId="0" fontId="1" fillId="4" borderId="6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8" xfId="0" applyFont="1" applyFill="1" applyBorder="1" applyAlignment="1">
      <alignment horizontal="center" vertical="center"/>
    </xf>
    <xf numFmtId="0" fontId="0" fillId="4" borderId="30" xfId="0" applyFill="1" applyBorder="1" applyAlignment="1">
      <alignment vertical="top" wrapText="1"/>
    </xf>
    <xf numFmtId="0" fontId="0" fillId="4" borderId="31" xfId="0" applyFill="1" applyBorder="1" applyAlignment="1">
      <alignment vertical="top" wrapText="1"/>
    </xf>
    <xf numFmtId="0" fontId="0" fillId="4" borderId="45" xfId="0" applyFill="1" applyBorder="1" applyAlignment="1">
      <alignment vertical="top" wrapText="1"/>
    </xf>
    <xf numFmtId="0" fontId="0" fillId="4" borderId="29" xfId="0" applyFill="1" applyBorder="1" applyAlignment="1">
      <alignment vertical="top" wrapText="1"/>
    </xf>
    <xf numFmtId="0" fontId="0" fillId="4" borderId="0" xfId="0" applyFill="1" applyAlignment="1">
      <alignment vertical="top" wrapText="1"/>
    </xf>
    <xf numFmtId="0" fontId="0" fillId="4" borderId="38" xfId="0" applyFill="1" applyBorder="1" applyAlignment="1">
      <alignment vertical="top" wrapText="1"/>
    </xf>
    <xf numFmtId="0" fontId="0" fillId="4" borderId="57" xfId="0" applyFill="1" applyBorder="1" applyAlignment="1">
      <alignment vertical="top" wrapText="1"/>
    </xf>
    <xf numFmtId="0" fontId="0" fillId="4" borderId="10" xfId="0" applyFill="1" applyBorder="1" applyAlignment="1">
      <alignment vertical="top" wrapText="1"/>
    </xf>
    <xf numFmtId="0" fontId="0" fillId="4" borderId="51" xfId="0" applyFill="1" applyBorder="1" applyAlignment="1">
      <alignment vertical="top" wrapText="1"/>
    </xf>
    <xf numFmtId="0" fontId="0" fillId="4" borderId="25" xfId="0" applyFill="1" applyBorder="1" applyAlignment="1">
      <alignment horizontal="center"/>
    </xf>
    <xf numFmtId="0" fontId="0" fillId="4" borderId="27" xfId="0" applyFill="1" applyBorder="1" applyAlignment="1">
      <alignment horizontal="center"/>
    </xf>
    <xf numFmtId="0" fontId="0" fillId="4" borderId="49" xfId="0" applyFill="1" applyBorder="1" applyAlignment="1">
      <alignment horizontal="center"/>
    </xf>
    <xf numFmtId="0" fontId="0" fillId="4" borderId="57" xfId="0" applyFill="1" applyBorder="1" applyAlignment="1">
      <alignment horizontal="center" vertical="center"/>
    </xf>
    <xf numFmtId="0" fontId="0" fillId="4" borderId="51" xfId="0" applyFill="1" applyBorder="1" applyAlignment="1">
      <alignment horizontal="center" vertical="center"/>
    </xf>
    <xf numFmtId="0" fontId="0" fillId="4" borderId="50" xfId="0" applyFill="1" applyBorder="1" applyAlignment="1">
      <alignment horizontal="center" vertical="center"/>
    </xf>
    <xf numFmtId="165" fontId="13" fillId="0" borderId="11" xfId="0" applyNumberFormat="1" applyFont="1" applyBorder="1" applyAlignment="1" applyProtection="1">
      <alignment horizontal="center"/>
      <protection hidden="1"/>
    </xf>
    <xf numFmtId="165" fontId="0" fillId="0" borderId="11" xfId="0" applyNumberFormat="1" applyBorder="1" applyAlignment="1" applyProtection="1">
      <alignment horizontal="center"/>
      <protection hidden="1"/>
    </xf>
    <xf numFmtId="0" fontId="47" fillId="4" borderId="11" xfId="0" applyFont="1" applyFill="1" applyBorder="1" applyAlignment="1" applyProtection="1">
      <alignment horizontal="center"/>
      <protection hidden="1"/>
    </xf>
    <xf numFmtId="0" fontId="47" fillId="4" borderId="0" xfId="0" applyFont="1" applyFill="1" applyAlignment="1" applyProtection="1">
      <alignment horizontal="center"/>
      <protection hidden="1"/>
    </xf>
    <xf numFmtId="1" fontId="0" fillId="0" borderId="3" xfId="0" applyNumberFormat="1" applyBorder="1" applyAlignment="1" applyProtection="1">
      <alignment horizontal="center"/>
      <protection hidden="1"/>
    </xf>
    <xf numFmtId="1" fontId="0" fillId="0" borderId="32" xfId="0" applyNumberFormat="1" applyBorder="1" applyAlignment="1" applyProtection="1">
      <alignment horizontal="center"/>
      <protection hidden="1"/>
    </xf>
    <xf numFmtId="0" fontId="0" fillId="0" borderId="38" xfId="0" applyBorder="1" applyAlignment="1" applyProtection="1">
      <alignment horizontal="center"/>
      <protection hidden="1"/>
    </xf>
    <xf numFmtId="0" fontId="1" fillId="17" borderId="3" xfId="0" applyFont="1" applyFill="1" applyBorder="1" applyAlignment="1" applyProtection="1">
      <alignment horizontal="center"/>
      <protection hidden="1"/>
    </xf>
    <xf numFmtId="0" fontId="1" fillId="17" borderId="12" xfId="0" applyFont="1" applyFill="1" applyBorder="1" applyAlignment="1" applyProtection="1">
      <alignment horizontal="center"/>
      <protection hidden="1"/>
    </xf>
    <xf numFmtId="0" fontId="1" fillId="17" borderId="32" xfId="0" applyFont="1" applyFill="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32" xfId="0" applyFont="1" applyBorder="1" applyAlignment="1" applyProtection="1">
      <alignment horizontal="center"/>
      <protection hidden="1"/>
    </xf>
    <xf numFmtId="0" fontId="1" fillId="8" borderId="3" xfId="0" applyFont="1" applyFill="1" applyBorder="1" applyAlignment="1" applyProtection="1">
      <alignment horizontal="center"/>
      <protection hidden="1"/>
    </xf>
    <xf numFmtId="0" fontId="1" fillId="8" borderId="12" xfId="0" applyFont="1" applyFill="1" applyBorder="1" applyAlignment="1" applyProtection="1">
      <alignment horizontal="center"/>
      <protection hidden="1"/>
    </xf>
    <xf numFmtId="0" fontId="1" fillId="8" borderId="32" xfId="0" applyFont="1" applyFill="1" applyBorder="1" applyAlignment="1" applyProtection="1">
      <alignment horizontal="center"/>
      <protection hidden="1"/>
    </xf>
    <xf numFmtId="2" fontId="0" fillId="7" borderId="30" xfId="0" applyNumberFormat="1" applyFill="1" applyBorder="1" applyAlignment="1" applyProtection="1">
      <alignment horizontal="center" vertical="center"/>
      <protection hidden="1"/>
    </xf>
    <xf numFmtId="2" fontId="0" fillId="7" borderId="31" xfId="0" applyNumberFormat="1" applyFill="1" applyBorder="1" applyAlignment="1" applyProtection="1">
      <alignment horizontal="center" vertical="center"/>
      <protection hidden="1"/>
    </xf>
    <xf numFmtId="2" fontId="0" fillId="7" borderId="45" xfId="0" applyNumberFormat="1" applyFill="1" applyBorder="1" applyAlignment="1" applyProtection="1">
      <alignment horizontal="center" vertical="center"/>
      <protection hidden="1"/>
    </xf>
    <xf numFmtId="2" fontId="0" fillId="7" borderId="33" xfId="0" applyNumberFormat="1" applyFill="1" applyBorder="1" applyAlignment="1" applyProtection="1">
      <alignment horizontal="center" vertical="center"/>
      <protection hidden="1"/>
    </xf>
    <xf numFmtId="2" fontId="0" fillId="7" borderId="35" xfId="0" applyNumberFormat="1" applyFill="1" applyBorder="1" applyAlignment="1" applyProtection="1">
      <alignment horizontal="center" vertical="center"/>
      <protection hidden="1"/>
    </xf>
    <xf numFmtId="2" fontId="0" fillId="7" borderId="34" xfId="0" applyNumberFormat="1" applyFill="1" applyBorder="1" applyAlignment="1" applyProtection="1">
      <alignment horizontal="center" vertical="center"/>
      <protection hidden="1"/>
    </xf>
    <xf numFmtId="165" fontId="0" fillId="0" borderId="12" xfId="0" applyNumberFormat="1" applyBorder="1" applyAlignment="1" applyProtection="1">
      <alignment horizontal="center" vertical="center" wrapText="1"/>
      <protection hidden="1"/>
    </xf>
    <xf numFmtId="165" fontId="0" fillId="0" borderId="32" xfId="0" applyNumberFormat="1" applyBorder="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6" fillId="0" borderId="0" xfId="0" applyFont="1" applyAlignment="1" applyProtection="1">
      <alignment horizontal="center"/>
      <protection hidden="1"/>
    </xf>
    <xf numFmtId="0" fontId="127" fillId="0" borderId="0" xfId="0" applyFont="1" applyAlignment="1" applyProtection="1">
      <alignment horizontal="center"/>
      <protection hidden="1"/>
    </xf>
    <xf numFmtId="0" fontId="43" fillId="0" borderId="0" xfId="0" applyFont="1" applyAlignment="1" applyProtection="1">
      <alignment horizontal="center"/>
      <protection hidden="1"/>
    </xf>
    <xf numFmtId="165" fontId="13" fillId="0" borderId="0" xfId="0" applyNumberFormat="1" applyFont="1" applyAlignment="1" applyProtection="1">
      <alignment horizontal="center" vertical="center" wrapText="1"/>
      <protection hidden="1"/>
    </xf>
    <xf numFmtId="0" fontId="44" fillId="38" borderId="1" xfId="0" applyFont="1" applyFill="1" applyBorder="1" applyAlignment="1" applyProtection="1">
      <alignment horizontal="center"/>
      <protection hidden="1"/>
    </xf>
    <xf numFmtId="0" fontId="89" fillId="0" borderId="1" xfId="0" applyFont="1" applyBorder="1" applyAlignment="1" applyProtection="1">
      <alignment horizontal="center" vertical="center" wrapText="1"/>
      <protection hidden="1"/>
    </xf>
    <xf numFmtId="165" fontId="89" fillId="0" borderId="1" xfId="0" applyNumberFormat="1" applyFont="1" applyBorder="1" applyAlignment="1" applyProtection="1">
      <alignment horizontal="center" vertical="center" wrapText="1"/>
      <protection hidden="1"/>
    </xf>
    <xf numFmtId="0" fontId="44" fillId="12" borderId="0" xfId="0" applyFont="1" applyFill="1" applyProtection="1">
      <protection hidden="1"/>
    </xf>
    <xf numFmtId="0" fontId="1" fillId="4" borderId="3" xfId="0" applyFont="1" applyFill="1" applyBorder="1" applyAlignment="1" applyProtection="1">
      <alignment horizontal="center"/>
      <protection hidden="1"/>
    </xf>
    <xf numFmtId="0" fontId="1" fillId="4" borderId="32" xfId="0" applyFont="1" applyFill="1" applyBorder="1" applyAlignment="1" applyProtection="1">
      <alignment horizontal="center"/>
      <protection hidden="1"/>
    </xf>
    <xf numFmtId="0" fontId="1" fillId="35" borderId="27"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wrapText="1"/>
      <protection hidden="1"/>
    </xf>
    <xf numFmtId="0" fontId="1" fillId="35" borderId="25" xfId="0" applyFont="1" applyFill="1" applyBorder="1" applyAlignment="1" applyProtection="1">
      <alignment horizontal="center" vertical="center" wrapText="1"/>
      <protection hidden="1"/>
    </xf>
    <xf numFmtId="165" fontId="16" fillId="0" borderId="0" xfId="0" applyNumberFormat="1" applyFont="1" applyAlignment="1" applyProtection="1">
      <alignment horizontal="center" vertical="center" wrapText="1"/>
      <protection hidden="1"/>
    </xf>
    <xf numFmtId="0" fontId="7" fillId="0" borderId="0" xfId="0" applyFont="1" applyAlignment="1" applyProtection="1">
      <alignment horizontal="center"/>
      <protection hidden="1"/>
    </xf>
    <xf numFmtId="166" fontId="26" fillId="0" borderId="0" xfId="0" applyNumberFormat="1" applyFont="1" applyAlignment="1" applyProtection="1">
      <alignment horizontal="center" vertical="center"/>
      <protection hidden="1"/>
    </xf>
    <xf numFmtId="0" fontId="0" fillId="0" borderId="3" xfId="0" applyBorder="1" applyAlignment="1">
      <alignment horizontal="left"/>
    </xf>
    <xf numFmtId="0" fontId="0" fillId="0" borderId="12" xfId="0" applyBorder="1" applyAlignment="1">
      <alignment horizontal="left"/>
    </xf>
    <xf numFmtId="0" fontId="0" fillId="0" borderId="32" xfId="0" applyBorder="1" applyAlignment="1">
      <alignment horizontal="left"/>
    </xf>
    <xf numFmtId="0" fontId="16" fillId="12" borderId="7"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16" fillId="12" borderId="0" xfId="0" applyFont="1" applyFill="1" applyAlignment="1">
      <alignment horizontal="center" vertical="center" wrapText="1"/>
    </xf>
    <xf numFmtId="0" fontId="16" fillId="12" borderId="18" xfId="0" applyFont="1" applyFill="1" applyBorder="1" applyAlignment="1">
      <alignment horizontal="center" vertical="center" wrapText="1"/>
    </xf>
    <xf numFmtId="0" fontId="16" fillId="12" borderId="10" xfId="0" applyFont="1" applyFill="1" applyBorder="1" applyAlignment="1">
      <alignment horizontal="center" vertical="center" wrapText="1"/>
    </xf>
    <xf numFmtId="2" fontId="0" fillId="7" borderId="1" xfId="0" applyNumberFormat="1" applyFill="1" applyBorder="1" applyAlignment="1" applyProtection="1">
      <alignment horizontal="center"/>
      <protection hidden="1"/>
    </xf>
    <xf numFmtId="0" fontId="44" fillId="0" borderId="0" xfId="0" applyFont="1" applyAlignment="1" applyProtection="1">
      <alignment horizontal="center"/>
      <protection hidden="1"/>
    </xf>
    <xf numFmtId="0" fontId="44" fillId="0" borderId="0" xfId="0" applyFont="1" applyAlignment="1">
      <alignment horizontal="center" vertical="center" wrapText="1"/>
    </xf>
    <xf numFmtId="165" fontId="0" fillId="0" borderId="0" xfId="0" applyNumberFormat="1" applyAlignment="1" applyProtection="1">
      <alignment horizontal="center"/>
      <protection hidden="1"/>
    </xf>
    <xf numFmtId="165" fontId="0" fillId="4" borderId="0" xfId="0" applyNumberFormat="1" applyFill="1" applyAlignment="1" applyProtection="1">
      <alignment horizontal="center"/>
      <protection hidden="1"/>
    </xf>
    <xf numFmtId="165" fontId="0" fillId="4" borderId="0" xfId="0" applyNumberFormat="1" applyFill="1" applyAlignment="1" applyProtection="1">
      <alignment horizontal="center" vertical="center"/>
      <protection hidden="1"/>
    </xf>
    <xf numFmtId="0" fontId="44" fillId="12" borderId="21"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44" fillId="4" borderId="17" xfId="0" applyFont="1" applyFill="1" applyBorder="1" applyAlignment="1" applyProtection="1">
      <alignment horizontal="center" vertical="center" wrapText="1"/>
      <protection hidden="1"/>
    </xf>
    <xf numFmtId="0" fontId="44" fillId="4" borderId="11" xfId="0" applyFont="1" applyFill="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2" fontId="0" fillId="7" borderId="3" xfId="0" applyNumberFormat="1" applyFill="1" applyBorder="1" applyAlignment="1" applyProtection="1">
      <alignment horizontal="center"/>
      <protection hidden="1"/>
    </xf>
    <xf numFmtId="2" fontId="0" fillId="7" borderId="32" xfId="0" applyNumberFormat="1" applyFill="1" applyBorder="1" applyAlignment="1" applyProtection="1">
      <alignment horizontal="center"/>
      <protection hidden="1"/>
    </xf>
    <xf numFmtId="166" fontId="0" fillId="0" borderId="0" xfId="0" applyNumberFormat="1" applyAlignment="1" applyProtection="1">
      <alignment horizontal="center"/>
      <protection hidden="1"/>
    </xf>
    <xf numFmtId="0" fontId="10" fillId="0" borderId="0" xfId="0" applyFont="1" applyAlignment="1" applyProtection="1">
      <alignment horizontal="center" vertical="center"/>
      <protection hidden="1"/>
    </xf>
    <xf numFmtId="2" fontId="0" fillId="7" borderId="29" xfId="0" applyNumberFormat="1" applyFill="1" applyBorder="1" applyAlignment="1" applyProtection="1">
      <alignment horizontal="center"/>
      <protection hidden="1"/>
    </xf>
    <xf numFmtId="2" fontId="0" fillId="7" borderId="38" xfId="0" applyNumberFormat="1" applyFill="1" applyBorder="1" applyAlignment="1" applyProtection="1">
      <alignment horizontal="center"/>
      <protection hidden="1"/>
    </xf>
    <xf numFmtId="0" fontId="104" fillId="34" borderId="1" xfId="0" applyFont="1" applyFill="1" applyBorder="1" applyAlignment="1" applyProtection="1">
      <alignment horizontal="center"/>
      <protection hidden="1"/>
    </xf>
    <xf numFmtId="0" fontId="95" fillId="0" borderId="3" xfId="0" applyFont="1" applyBorder="1" applyAlignment="1" applyProtection="1">
      <alignment horizontal="center"/>
      <protection locked="0" hidden="1"/>
    </xf>
    <xf numFmtId="0" fontId="95" fillId="0" borderId="32" xfId="0" applyFont="1" applyBorder="1" applyAlignment="1" applyProtection="1">
      <alignment horizontal="center"/>
      <protection locked="0" hidden="1"/>
    </xf>
    <xf numFmtId="0" fontId="68" fillId="0" borderId="1" xfId="0" applyFont="1" applyBorder="1" applyAlignment="1" applyProtection="1">
      <alignment horizontal="center"/>
      <protection hidden="1"/>
    </xf>
    <xf numFmtId="0" fontId="8" fillId="0" borderId="0" xfId="0" applyFont="1" applyAlignment="1" applyProtection="1">
      <alignment horizontal="center" vertical="center"/>
      <protection hidden="1"/>
    </xf>
    <xf numFmtId="168" fontId="0" fillId="0" borderId="0" xfId="0" applyNumberFormat="1" applyAlignment="1" applyProtection="1">
      <alignment horizontal="center" vertical="center" wrapText="1"/>
      <protection locked="0"/>
    </xf>
    <xf numFmtId="0" fontId="48" fillId="0" borderId="0" xfId="0" applyFont="1" applyAlignment="1" applyProtection="1">
      <alignment horizontal="center"/>
      <protection hidden="1"/>
    </xf>
    <xf numFmtId="165" fontId="0" fillId="7" borderId="29" xfId="0" applyNumberFormat="1" applyFill="1" applyBorder="1" applyAlignment="1" applyProtection="1">
      <alignment horizontal="center"/>
      <protection hidden="1"/>
    </xf>
    <xf numFmtId="165" fontId="0" fillId="7" borderId="38" xfId="0" applyNumberFormat="1" applyFill="1" applyBorder="1" applyAlignment="1" applyProtection="1">
      <alignment horizontal="center"/>
      <protection hidden="1"/>
    </xf>
    <xf numFmtId="2" fontId="0" fillId="7" borderId="33" xfId="0" applyNumberFormat="1" applyFill="1" applyBorder="1" applyAlignment="1" applyProtection="1">
      <alignment horizontal="center"/>
      <protection hidden="1"/>
    </xf>
    <xf numFmtId="2" fontId="0" fillId="7" borderId="34" xfId="0" applyNumberFormat="1" applyFill="1" applyBorder="1" applyAlignment="1" applyProtection="1">
      <alignment horizontal="center"/>
      <protection hidden="1"/>
    </xf>
    <xf numFmtId="0" fontId="10" fillId="0" borderId="0" xfId="0" applyFont="1" applyAlignment="1" applyProtection="1">
      <alignment horizontal="left"/>
      <protection locked="0"/>
    </xf>
    <xf numFmtId="0" fontId="1" fillId="0" borderId="0" xfId="0" applyFont="1" applyAlignment="1" applyProtection="1">
      <alignment horizontal="center" vertical="center" wrapText="1"/>
      <protection hidden="1"/>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pplyProtection="1">
      <alignment horizontal="center" vertical="center"/>
      <protection hidden="1"/>
    </xf>
    <xf numFmtId="0" fontId="9" fillId="7" borderId="41" xfId="0" applyFont="1" applyFill="1" applyBorder="1" applyAlignment="1" applyProtection="1">
      <alignment horizontal="center" vertical="center"/>
      <protection hidden="1"/>
    </xf>
    <xf numFmtId="0" fontId="9" fillId="7" borderId="46" xfId="0" applyFont="1" applyFill="1" applyBorder="1" applyAlignment="1" applyProtection="1">
      <alignment horizontal="center" vertical="center"/>
      <protection hidden="1"/>
    </xf>
    <xf numFmtId="0" fontId="9" fillId="7" borderId="42" xfId="0" applyFont="1" applyFill="1" applyBorder="1" applyAlignment="1" applyProtection="1">
      <alignment horizontal="center" vertical="center"/>
      <protection hidden="1"/>
    </xf>
    <xf numFmtId="0" fontId="9" fillId="7" borderId="33" xfId="0" applyFont="1" applyFill="1" applyBorder="1" applyAlignment="1" applyProtection="1">
      <alignment horizontal="center" vertical="center"/>
      <protection hidden="1"/>
    </xf>
    <xf numFmtId="0" fontId="9" fillId="7" borderId="35" xfId="0" applyFont="1" applyFill="1" applyBorder="1" applyAlignment="1" applyProtection="1">
      <alignment horizontal="center" vertical="center"/>
      <protection hidden="1"/>
    </xf>
    <xf numFmtId="0" fontId="9" fillId="7" borderId="34" xfId="0" applyFont="1" applyFill="1" applyBorder="1" applyAlignment="1" applyProtection="1">
      <alignment horizontal="center" vertical="center"/>
      <protection hidden="1"/>
    </xf>
    <xf numFmtId="0" fontId="9" fillId="7" borderId="12" xfId="0" applyFont="1" applyFill="1" applyBorder="1" applyAlignment="1" applyProtection="1">
      <alignment horizontal="center" vertical="center"/>
      <protection hidden="1"/>
    </xf>
    <xf numFmtId="0" fontId="9" fillId="7" borderId="39" xfId="0" applyFont="1" applyFill="1" applyBorder="1" applyAlignment="1" applyProtection="1">
      <alignment horizontal="center" vertical="center"/>
      <protection hidden="1"/>
    </xf>
    <xf numFmtId="0" fontId="9" fillId="7" borderId="70" xfId="0" applyFont="1" applyFill="1" applyBorder="1" applyAlignment="1" applyProtection="1">
      <alignment horizontal="center" vertical="center"/>
      <protection hidden="1"/>
    </xf>
    <xf numFmtId="0" fontId="9" fillId="7" borderId="40" xfId="0" applyFont="1" applyFill="1" applyBorder="1" applyAlignment="1" applyProtection="1">
      <alignment horizontal="center" vertical="center"/>
      <protection hidden="1"/>
    </xf>
    <xf numFmtId="2" fontId="107" fillId="36" borderId="3" xfId="0" applyNumberFormat="1" applyFont="1" applyFill="1" applyBorder="1" applyAlignment="1" applyProtection="1">
      <alignment horizontal="center"/>
      <protection hidden="1"/>
    </xf>
    <xf numFmtId="2" fontId="107" fillId="36" borderId="32" xfId="0" applyNumberFormat="1" applyFont="1" applyFill="1" applyBorder="1" applyAlignment="1" applyProtection="1">
      <alignment horizontal="center"/>
      <protection hidden="1"/>
    </xf>
    <xf numFmtId="0" fontId="108" fillId="34" borderId="1" xfId="0" applyFont="1" applyFill="1" applyBorder="1" applyAlignment="1" applyProtection="1">
      <alignment horizontal="center"/>
      <protection hidden="1"/>
    </xf>
    <xf numFmtId="0" fontId="68" fillId="0" borderId="3" xfId="0" applyFont="1" applyBorder="1" applyAlignment="1" applyProtection="1">
      <alignment horizontal="center"/>
      <protection hidden="1"/>
    </xf>
    <xf numFmtId="1" fontId="111" fillId="36" borderId="4" xfId="0" applyNumberFormat="1" applyFont="1" applyFill="1" applyBorder="1" applyAlignment="1" applyProtection="1">
      <alignment horizontal="center"/>
      <protection hidden="1"/>
    </xf>
    <xf numFmtId="1" fontId="111" fillId="36" borderId="6" xfId="0" applyNumberFormat="1" applyFont="1" applyFill="1" applyBorder="1" applyAlignment="1" applyProtection="1">
      <alignment horizontal="center"/>
      <protection hidden="1"/>
    </xf>
    <xf numFmtId="165" fontId="0" fillId="7" borderId="39" xfId="0" applyNumberFormat="1" applyFill="1" applyBorder="1" applyAlignment="1" applyProtection="1">
      <alignment horizontal="center"/>
      <protection locked="0" hidden="1"/>
    </xf>
    <xf numFmtId="165" fontId="0" fillId="7" borderId="64" xfId="0" applyNumberFormat="1" applyFill="1" applyBorder="1" applyAlignment="1" applyProtection="1">
      <alignment horizontal="center"/>
      <protection locked="0" hidden="1"/>
    </xf>
    <xf numFmtId="165" fontId="0" fillId="7" borderId="33" xfId="0" applyNumberFormat="1" applyFill="1" applyBorder="1" applyAlignment="1" applyProtection="1">
      <alignment horizontal="center"/>
      <protection locked="0" hidden="1"/>
    </xf>
    <xf numFmtId="165" fontId="0" fillId="7" borderId="62" xfId="0" applyNumberFormat="1" applyFill="1" applyBorder="1" applyAlignment="1" applyProtection="1">
      <alignment horizontal="center"/>
      <protection locked="0" hidden="1"/>
    </xf>
    <xf numFmtId="165" fontId="0" fillId="7" borderId="3" xfId="0" applyNumberFormat="1" applyFill="1" applyBorder="1" applyAlignment="1" applyProtection="1">
      <alignment horizontal="center"/>
      <protection locked="0" hidden="1"/>
    </xf>
    <xf numFmtId="165" fontId="0" fillId="7" borderId="43" xfId="0" applyNumberFormat="1" applyFill="1" applyBorder="1" applyAlignment="1" applyProtection="1">
      <alignment horizontal="center"/>
      <protection locked="0" hidden="1"/>
    </xf>
    <xf numFmtId="0" fontId="9" fillId="7" borderId="1" xfId="0" applyFont="1" applyFill="1" applyBorder="1" applyAlignment="1" applyProtection="1">
      <alignment horizontal="center" vertical="center"/>
      <protection hidden="1"/>
    </xf>
    <xf numFmtId="0" fontId="44" fillId="12" borderId="3" xfId="0" applyFont="1" applyFill="1" applyBorder="1" applyAlignment="1" applyProtection="1">
      <alignment horizontal="center" vertical="center" wrapText="1"/>
      <protection hidden="1"/>
    </xf>
    <xf numFmtId="0" fontId="44" fillId="12" borderId="12" xfId="0" applyFont="1" applyFill="1" applyBorder="1" applyAlignment="1" applyProtection="1">
      <alignment horizontal="center" vertical="center" wrapText="1"/>
      <protection hidden="1"/>
    </xf>
    <xf numFmtId="0" fontId="44" fillId="12" borderId="32" xfId="0" applyFont="1" applyFill="1" applyBorder="1" applyAlignment="1" applyProtection="1">
      <alignment horizontal="center" vertical="center" wrapText="1"/>
      <protection hidden="1"/>
    </xf>
    <xf numFmtId="0" fontId="0" fillId="4" borderId="0" xfId="0" applyFill="1" applyAlignment="1">
      <alignment horizontal="center"/>
    </xf>
    <xf numFmtId="0" fontId="8" fillId="0" borderId="3" xfId="0" applyFont="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2" fontId="0" fillId="0" borderId="3" xfId="0" applyNumberFormat="1" applyBorder="1" applyAlignment="1" applyProtection="1">
      <alignment horizontal="center"/>
      <protection hidden="1"/>
    </xf>
    <xf numFmtId="2" fontId="0" fillId="0" borderId="32" xfId="0" applyNumberFormat="1" applyBorder="1" applyAlignment="1" applyProtection="1">
      <alignment horizontal="center"/>
      <protection hidden="1"/>
    </xf>
    <xf numFmtId="0" fontId="47" fillId="12" borderId="12" xfId="0" applyFont="1" applyFill="1" applyBorder="1" applyAlignment="1" applyProtection="1">
      <alignment horizontal="center"/>
      <protection hidden="1"/>
    </xf>
    <xf numFmtId="0" fontId="68" fillId="0" borderId="0" xfId="0" applyFont="1" applyAlignment="1">
      <alignment horizontal="left"/>
    </xf>
    <xf numFmtId="165" fontId="0" fillId="7" borderId="41" xfId="0" applyNumberFormat="1" applyFill="1" applyBorder="1" applyAlignment="1" applyProtection="1">
      <alignment horizontal="center"/>
      <protection locked="0" hidden="1"/>
    </xf>
    <xf numFmtId="165" fontId="0" fillId="7" borderId="67" xfId="0" applyNumberFormat="1" applyFill="1" applyBorder="1" applyAlignment="1" applyProtection="1">
      <alignment horizontal="center"/>
      <protection locked="0" hidden="1"/>
    </xf>
    <xf numFmtId="0" fontId="117" fillId="0" borderId="11" xfId="0" applyFont="1" applyBorder="1" applyAlignment="1">
      <alignment horizontal="center" vertical="center" wrapText="1"/>
    </xf>
    <xf numFmtId="0" fontId="117" fillId="0" borderId="0" xfId="0" applyFont="1" applyAlignment="1">
      <alignment horizontal="center" vertical="center" wrapText="1"/>
    </xf>
    <xf numFmtId="0" fontId="0" fillId="0" borderId="0" xfId="0" applyAlignment="1">
      <alignment horizontal="center" vertical="center" wrapText="1"/>
    </xf>
    <xf numFmtId="0" fontId="74" fillId="29" borderId="3" xfId="0" applyFont="1" applyFill="1" applyBorder="1" applyAlignment="1" applyProtection="1">
      <alignment horizontal="center"/>
      <protection hidden="1"/>
    </xf>
    <xf numFmtId="0" fontId="74" fillId="29" borderId="32" xfId="0" applyFont="1" applyFill="1" applyBorder="1" applyAlignment="1" applyProtection="1">
      <alignment horizontal="center"/>
      <protection hidden="1"/>
    </xf>
    <xf numFmtId="2" fontId="116" fillId="17" borderId="3" xfId="0" applyNumberFormat="1" applyFont="1" applyFill="1" applyBorder="1" applyAlignment="1" applyProtection="1">
      <alignment horizontal="center"/>
      <protection hidden="1"/>
    </xf>
    <xf numFmtId="0" fontId="0" fillId="17" borderId="32" xfId="0" applyFill="1" applyBorder="1" applyAlignment="1" applyProtection="1">
      <alignment horizontal="center"/>
      <protection hidden="1"/>
    </xf>
    <xf numFmtId="0" fontId="68" fillId="0" borderId="4" xfId="0" applyFont="1" applyBorder="1" applyAlignment="1" applyProtection="1">
      <alignment horizontal="center"/>
      <protection hidden="1"/>
    </xf>
    <xf numFmtId="0" fontId="68" fillId="0" borderId="5" xfId="0" applyFont="1" applyBorder="1" applyAlignment="1" applyProtection="1">
      <alignment horizontal="center"/>
      <protection hidden="1"/>
    </xf>
    <xf numFmtId="0" fontId="68" fillId="0" borderId="6"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0" fillId="2" borderId="4" xfId="0" applyFill="1" applyBorder="1" applyAlignment="1" applyProtection="1">
      <alignment horizontal="center"/>
      <protection hidden="1"/>
    </xf>
    <xf numFmtId="0" fontId="0" fillId="2" borderId="6" xfId="0" applyFill="1" applyBorder="1" applyAlignment="1" applyProtection="1">
      <alignment horizontal="center"/>
      <protection hidden="1"/>
    </xf>
    <xf numFmtId="2" fontId="0" fillId="2" borderId="4" xfId="0" applyNumberFormat="1" applyFill="1" applyBorder="1" applyAlignment="1" applyProtection="1">
      <alignment horizontal="center"/>
      <protection hidden="1"/>
    </xf>
    <xf numFmtId="2" fontId="0" fillId="2" borderId="6" xfId="0" applyNumberFormat="1" applyFill="1" applyBorder="1" applyAlignment="1" applyProtection="1">
      <alignment horizontal="center"/>
      <protection hidden="1"/>
    </xf>
    <xf numFmtId="1" fontId="111" fillId="17" borderId="4" xfId="0" applyNumberFormat="1" applyFont="1" applyFill="1" applyBorder="1" applyAlignment="1" applyProtection="1">
      <alignment horizontal="center"/>
      <protection hidden="1"/>
    </xf>
    <xf numFmtId="1" fontId="111" fillId="17" borderId="6" xfId="0" applyNumberFormat="1" applyFont="1" applyFill="1" applyBorder="1" applyAlignment="1" applyProtection="1">
      <alignment horizontal="center"/>
      <protection hidden="1"/>
    </xf>
    <xf numFmtId="0" fontId="0" fillId="7" borderId="12" xfId="0" applyFill="1" applyBorder="1" applyAlignment="1" applyProtection="1">
      <alignment horizontal="center"/>
      <protection hidden="1"/>
    </xf>
    <xf numFmtId="2" fontId="107" fillId="17" borderId="3" xfId="0" applyNumberFormat="1" applyFont="1" applyFill="1" applyBorder="1" applyAlignment="1" applyProtection="1">
      <alignment horizontal="center"/>
      <protection hidden="1"/>
    </xf>
    <xf numFmtId="2" fontId="107" fillId="17" borderId="32" xfId="0" applyNumberFormat="1" applyFont="1" applyFill="1" applyBorder="1" applyAlignment="1" applyProtection="1">
      <alignment horizontal="center"/>
      <protection hidden="1"/>
    </xf>
    <xf numFmtId="0" fontId="43" fillId="0" borderId="17" xfId="0" applyFont="1" applyBorder="1" applyAlignment="1" applyProtection="1">
      <alignment horizontal="center"/>
      <protection hidden="1"/>
    </xf>
    <xf numFmtId="0" fontId="44" fillId="14" borderId="73" xfId="0" applyFont="1" applyFill="1" applyBorder="1" applyAlignment="1" applyProtection="1">
      <alignment horizontal="center"/>
      <protection hidden="1"/>
    </xf>
    <xf numFmtId="0" fontId="44" fillId="14" borderId="74" xfId="0" applyFont="1" applyFill="1" applyBorder="1" applyAlignment="1" applyProtection="1">
      <alignment horizontal="center"/>
      <protection hidden="1"/>
    </xf>
    <xf numFmtId="0" fontId="44" fillId="14" borderId="75" xfId="0" applyFont="1" applyFill="1" applyBorder="1" applyAlignment="1" applyProtection="1">
      <alignment horizontal="center"/>
      <protection hidden="1"/>
    </xf>
    <xf numFmtId="1" fontId="0" fillId="2" borderId="4" xfId="0" applyNumberFormat="1" applyFill="1" applyBorder="1" applyAlignment="1" applyProtection="1">
      <alignment horizontal="center"/>
      <protection hidden="1"/>
    </xf>
    <xf numFmtId="0" fontId="0" fillId="19" borderId="4" xfId="0" applyFill="1" applyBorder="1" applyAlignment="1" applyProtection="1">
      <alignment horizontal="center"/>
      <protection locked="0"/>
    </xf>
    <xf numFmtId="0" fontId="0" fillId="19" borderId="5" xfId="0" applyFill="1" applyBorder="1" applyAlignment="1" applyProtection="1">
      <alignment horizontal="center"/>
      <protection locked="0"/>
    </xf>
    <xf numFmtId="0" fontId="0" fillId="19" borderId="6" xfId="0" applyFill="1" applyBorder="1" applyAlignment="1" applyProtection="1">
      <alignment horizontal="center"/>
      <protection locked="0"/>
    </xf>
    <xf numFmtId="0" fontId="0" fillId="0" borderId="8" xfId="0" applyBorder="1" applyAlignment="1" applyProtection="1">
      <alignment horizontal="center"/>
      <protection locked="0"/>
    </xf>
    <xf numFmtId="0" fontId="67" fillId="0" borderId="5" xfId="0" applyFont="1" applyBorder="1" applyAlignment="1" applyProtection="1">
      <alignment horizontal="center"/>
      <protection locked="0"/>
    </xf>
    <xf numFmtId="0" fontId="16" fillId="20" borderId="7" xfId="0" applyFont="1" applyFill="1" applyBorder="1" applyAlignment="1" applyProtection="1">
      <alignment horizontal="center"/>
      <protection hidden="1"/>
    </xf>
    <xf numFmtId="0" fontId="16" fillId="20" borderId="8" xfId="0" applyFont="1" applyFill="1" applyBorder="1" applyAlignment="1" applyProtection="1">
      <alignment horizontal="center"/>
      <protection hidden="1"/>
    </xf>
    <xf numFmtId="0" fontId="16" fillId="20" borderId="20" xfId="0" applyFont="1" applyFill="1" applyBorder="1" applyAlignment="1" applyProtection="1">
      <alignment horizontal="center"/>
      <protection hidden="1"/>
    </xf>
    <xf numFmtId="0" fontId="68" fillId="0" borderId="32" xfId="0" applyFont="1" applyBorder="1" applyAlignment="1" applyProtection="1">
      <alignment horizontal="center"/>
      <protection hidden="1"/>
    </xf>
    <xf numFmtId="0" fontId="0" fillId="18" borderId="4" xfId="0" applyFill="1" applyBorder="1" applyAlignment="1" applyProtection="1">
      <alignment horizontal="center"/>
      <protection locked="0" hidden="1"/>
    </xf>
    <xf numFmtId="0" fontId="0" fillId="18" borderId="6" xfId="0" applyFill="1" applyBorder="1" applyAlignment="1" applyProtection="1">
      <alignment horizontal="center"/>
      <protection locked="0" hidden="1"/>
    </xf>
    <xf numFmtId="2" fontId="0" fillId="18" borderId="4" xfId="0" applyNumberFormat="1" applyFill="1" applyBorder="1" applyAlignment="1" applyProtection="1">
      <alignment horizontal="center"/>
      <protection locked="0" hidden="1"/>
    </xf>
    <xf numFmtId="0" fontId="0" fillId="4" borderId="11" xfId="0" applyFill="1" applyBorder="1" applyAlignment="1" applyProtection="1">
      <alignment horizontal="center"/>
      <protection hidden="1"/>
    </xf>
    <xf numFmtId="0" fontId="0" fillId="4" borderId="77" xfId="0" applyFill="1" applyBorder="1" applyAlignment="1" applyProtection="1">
      <alignment horizontal="center"/>
      <protection hidden="1"/>
    </xf>
    <xf numFmtId="0" fontId="43" fillId="0" borderId="77" xfId="0" applyFont="1" applyBorder="1" applyAlignment="1" applyProtection="1">
      <alignment horizontal="center"/>
      <protection hidden="1"/>
    </xf>
    <xf numFmtId="0" fontId="16" fillId="38" borderId="7" xfId="0" applyFont="1" applyFill="1" applyBorder="1" applyAlignment="1" applyProtection="1">
      <alignment horizontal="center" wrapText="1"/>
      <protection hidden="1"/>
    </xf>
    <xf numFmtId="0" fontId="16" fillId="38" borderId="8" xfId="0" applyFont="1" applyFill="1" applyBorder="1" applyAlignment="1" applyProtection="1">
      <alignment horizontal="center" wrapText="1"/>
      <protection hidden="1"/>
    </xf>
    <xf numFmtId="0" fontId="16" fillId="38" borderId="20" xfId="0" applyFont="1" applyFill="1" applyBorder="1" applyAlignment="1" applyProtection="1">
      <alignment horizontal="center" wrapText="1"/>
      <protection hidden="1"/>
    </xf>
    <xf numFmtId="0" fontId="16" fillId="38" borderId="11" xfId="0" applyFont="1" applyFill="1" applyBorder="1" applyAlignment="1" applyProtection="1">
      <alignment horizontal="center" wrapText="1"/>
      <protection hidden="1"/>
    </xf>
    <xf numFmtId="0" fontId="16" fillId="38" borderId="0" xfId="0" applyFont="1" applyFill="1" applyAlignment="1" applyProtection="1">
      <alignment horizontal="center" wrapText="1"/>
      <protection hidden="1"/>
    </xf>
    <xf numFmtId="0" fontId="16" fillId="38" borderId="17" xfId="0" applyFont="1" applyFill="1" applyBorder="1" applyAlignment="1" applyProtection="1">
      <alignment horizontal="center" wrapText="1"/>
      <protection hidden="1"/>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0" fillId="0" borderId="4" xfId="0" applyBorder="1" applyAlignment="1" applyProtection="1">
      <alignment horizontal="center"/>
      <protection locked="0" hidden="1"/>
    </xf>
    <xf numFmtId="0" fontId="0" fillId="0" borderId="5" xfId="0" applyBorder="1" applyAlignment="1" applyProtection="1">
      <alignment horizontal="center"/>
      <protection locked="0" hidden="1"/>
    </xf>
    <xf numFmtId="0" fontId="0" fillId="0" borderId="6" xfId="0" applyBorder="1" applyAlignment="1" applyProtection="1">
      <alignment horizontal="center"/>
      <protection locked="0" hidden="1"/>
    </xf>
    <xf numFmtId="0" fontId="119" fillId="0" borderId="5"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68" fillId="35" borderId="4" xfId="0" applyFont="1" applyFill="1" applyBorder="1" applyAlignment="1">
      <alignment horizontal="center"/>
    </xf>
    <xf numFmtId="0" fontId="68" fillId="35" borderId="5" xfId="0" applyFont="1" applyFill="1" applyBorder="1" applyAlignment="1">
      <alignment horizontal="center"/>
    </xf>
    <xf numFmtId="0" fontId="68" fillId="35" borderId="6" xfId="0" applyFont="1" applyFill="1" applyBorder="1" applyAlignment="1">
      <alignment horizontal="center"/>
    </xf>
    <xf numFmtId="0" fontId="81" fillId="0" borderId="10" xfId="0" applyFont="1" applyBorder="1" applyAlignment="1">
      <alignment horizontal="center"/>
    </xf>
    <xf numFmtId="0" fontId="81" fillId="0" borderId="19" xfId="0" applyFont="1" applyBorder="1" applyAlignment="1">
      <alignment horizontal="center"/>
    </xf>
    <xf numFmtId="2" fontId="17" fillId="17" borderId="4" xfId="0" applyNumberFormat="1" applyFont="1" applyFill="1" applyBorder="1" applyAlignment="1" applyProtection="1">
      <alignment horizontal="center"/>
      <protection hidden="1"/>
    </xf>
    <xf numFmtId="2" fontId="17" fillId="17" borderId="6" xfId="0" applyNumberFormat="1" applyFont="1" applyFill="1" applyBorder="1" applyAlignment="1" applyProtection="1">
      <alignment horizontal="center"/>
      <protection hidden="1"/>
    </xf>
    <xf numFmtId="0" fontId="68" fillId="35" borderId="3" xfId="0" applyFont="1" applyFill="1" applyBorder="1" applyAlignment="1" applyProtection="1">
      <alignment horizontal="center"/>
      <protection hidden="1"/>
    </xf>
    <xf numFmtId="0" fontId="68" fillId="35" borderId="12" xfId="0" applyFont="1" applyFill="1" applyBorder="1" applyAlignment="1" applyProtection="1">
      <alignment horizontal="center"/>
      <protection hidden="1"/>
    </xf>
    <xf numFmtId="0" fontId="68" fillId="35" borderId="32" xfId="0" applyFont="1" applyFill="1" applyBorder="1" applyAlignment="1" applyProtection="1">
      <alignment horizontal="center"/>
      <protection hidden="1"/>
    </xf>
    <xf numFmtId="0" fontId="1" fillId="35" borderId="30" xfId="0" applyFont="1" applyFill="1" applyBorder="1" applyAlignment="1" applyProtection="1">
      <alignment horizontal="center" vertical="center" wrapText="1"/>
      <protection hidden="1"/>
    </xf>
    <xf numFmtId="0" fontId="1" fillId="35" borderId="31" xfId="0" applyFont="1" applyFill="1" applyBorder="1" applyAlignment="1" applyProtection="1">
      <alignment horizontal="center" vertical="center" wrapText="1"/>
      <protection hidden="1"/>
    </xf>
    <xf numFmtId="0" fontId="1" fillId="35" borderId="45" xfId="0" applyFont="1" applyFill="1" applyBorder="1" applyAlignment="1" applyProtection="1">
      <alignment horizontal="center" vertical="center" wrapText="1"/>
      <protection hidden="1"/>
    </xf>
    <xf numFmtId="0" fontId="1" fillId="35" borderId="33" xfId="0" applyFont="1" applyFill="1" applyBorder="1" applyAlignment="1" applyProtection="1">
      <alignment horizontal="center" vertical="center" wrapText="1"/>
      <protection hidden="1"/>
    </xf>
    <xf numFmtId="0" fontId="1" fillId="35" borderId="35" xfId="0" applyFont="1" applyFill="1" applyBorder="1" applyAlignment="1" applyProtection="1">
      <alignment horizontal="center" vertical="center" wrapText="1"/>
      <protection hidden="1"/>
    </xf>
    <xf numFmtId="0" fontId="1" fillId="35" borderId="34" xfId="0" applyFont="1" applyFill="1" applyBorder="1" applyAlignment="1" applyProtection="1">
      <alignment horizontal="center" vertical="center" wrapText="1"/>
      <protection hidden="1"/>
    </xf>
    <xf numFmtId="0" fontId="80" fillId="35" borderId="3" xfId="0" applyFont="1" applyFill="1" applyBorder="1" applyAlignment="1" applyProtection="1">
      <alignment horizontal="center"/>
      <protection hidden="1"/>
    </xf>
    <xf numFmtId="0" fontId="80" fillId="35" borderId="12" xfId="0" applyFont="1" applyFill="1" applyBorder="1" applyAlignment="1" applyProtection="1">
      <alignment horizontal="center"/>
      <protection hidden="1"/>
    </xf>
    <xf numFmtId="0" fontId="80" fillId="35" borderId="32" xfId="0" applyFont="1" applyFill="1" applyBorder="1" applyAlignment="1" applyProtection="1">
      <alignment horizontal="center"/>
      <protection hidden="1"/>
    </xf>
    <xf numFmtId="2" fontId="1" fillId="35" borderId="25" xfId="0" applyNumberFormat="1" applyFont="1" applyFill="1" applyBorder="1" applyAlignment="1" applyProtection="1">
      <alignment horizontal="center" vertical="center"/>
      <protection hidden="1"/>
    </xf>
    <xf numFmtId="2" fontId="1" fillId="35" borderId="2" xfId="0" applyNumberFormat="1" applyFont="1" applyFill="1" applyBorder="1" applyAlignment="1" applyProtection="1">
      <alignment horizontal="center" vertical="center"/>
      <protection hidden="1"/>
    </xf>
    <xf numFmtId="0" fontId="0" fillId="35" borderId="33" xfId="0" applyFill="1" applyBorder="1" applyAlignment="1" applyProtection="1">
      <alignment horizontal="center"/>
      <protection hidden="1"/>
    </xf>
    <xf numFmtId="0" fontId="0" fillId="35" borderId="35" xfId="0" applyFill="1" applyBorder="1" applyAlignment="1" applyProtection="1">
      <alignment horizontal="center"/>
      <protection hidden="1"/>
    </xf>
    <xf numFmtId="0" fontId="89" fillId="0" borderId="7" xfId="0" applyFont="1" applyBorder="1" applyAlignment="1" applyProtection="1">
      <alignment horizontal="center" vertical="center" wrapText="1"/>
      <protection hidden="1"/>
    </xf>
    <xf numFmtId="0" fontId="89" fillId="0" borderId="20" xfId="0" applyFont="1" applyBorder="1" applyAlignment="1" applyProtection="1">
      <alignment horizontal="center" vertical="center" wrapText="1"/>
      <protection hidden="1"/>
    </xf>
    <xf numFmtId="0" fontId="89" fillId="0" borderId="18" xfId="0" applyFont="1" applyBorder="1" applyAlignment="1" applyProtection="1">
      <alignment horizontal="center" vertical="center" wrapText="1"/>
      <protection hidden="1"/>
    </xf>
    <xf numFmtId="0" fontId="89" fillId="0" borderId="19" xfId="0" applyFont="1" applyBorder="1" applyAlignment="1" applyProtection="1">
      <alignment horizontal="center" vertical="center" wrapText="1"/>
      <protection hidden="1"/>
    </xf>
    <xf numFmtId="164" fontId="93" fillId="17" borderId="4" xfId="0" applyNumberFormat="1" applyFont="1" applyFill="1" applyBorder="1" applyAlignment="1" applyProtection="1">
      <alignment horizontal="center"/>
      <protection hidden="1"/>
    </xf>
    <xf numFmtId="164" fontId="93" fillId="17" borderId="6" xfId="0" applyNumberFormat="1" applyFont="1" applyFill="1" applyBorder="1" applyAlignment="1" applyProtection="1">
      <alignment horizontal="center"/>
      <protection hidden="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90" fillId="0" borderId="21" xfId="0" applyFont="1" applyBorder="1" applyAlignment="1" applyProtection="1">
      <alignment horizontal="center" vertical="center" wrapText="1"/>
      <protection hidden="1"/>
    </xf>
    <xf numFmtId="0" fontId="90" fillId="0" borderId="23" xfId="0" applyFont="1" applyBorder="1" applyAlignment="1" applyProtection="1">
      <alignment horizontal="center" vertical="center" wrapText="1"/>
      <protection hidden="1"/>
    </xf>
    <xf numFmtId="0" fontId="117" fillId="0" borderId="20" xfId="0" applyFont="1" applyBorder="1" applyAlignment="1" applyProtection="1">
      <alignment horizontal="center" vertical="center" wrapText="1"/>
      <protection locked="0"/>
    </xf>
    <xf numFmtId="0" fontId="117" fillId="0" borderId="19"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hidden="1"/>
    </xf>
    <xf numFmtId="0" fontId="64" fillId="0" borderId="0" xfId="0" applyFont="1" applyAlignment="1" applyProtection="1">
      <alignment horizontal="center"/>
      <protection locked="0" hidden="1"/>
    </xf>
    <xf numFmtId="0" fontId="74" fillId="0" borderId="0" xfId="0" applyFont="1" applyAlignment="1" applyProtection="1">
      <alignment horizontal="center"/>
      <protection hidden="1"/>
    </xf>
    <xf numFmtId="167" fontId="1" fillId="0" borderId="0" xfId="0" applyNumberFormat="1" applyFont="1" applyAlignment="1" applyProtection="1">
      <alignment horizontal="center"/>
      <protection hidden="1"/>
    </xf>
    <xf numFmtId="167" fontId="74" fillId="0" borderId="0" xfId="0" applyNumberFormat="1" applyFont="1" applyAlignment="1" applyProtection="1">
      <alignment horizontal="center"/>
      <protection hidden="1"/>
    </xf>
    <xf numFmtId="2" fontId="95" fillId="0" borderId="0" xfId="0" applyNumberFormat="1" applyFont="1" applyAlignment="1" applyProtection="1">
      <alignment horizontal="center"/>
      <protection hidden="1"/>
    </xf>
    <xf numFmtId="0" fontId="112" fillId="0" borderId="8" xfId="0" applyFont="1" applyBorder="1" applyAlignment="1" applyProtection="1">
      <alignment horizontal="center"/>
      <protection hidden="1"/>
    </xf>
    <xf numFmtId="0" fontId="113" fillId="0" borderId="0" xfId="0" applyFont="1" applyAlignment="1" applyProtection="1">
      <alignment horizontal="right" indent="1"/>
      <protection hidden="1"/>
    </xf>
    <xf numFmtId="174" fontId="116" fillId="17" borderId="3" xfId="0" applyNumberFormat="1" applyFont="1" applyFill="1" applyBorder="1" applyAlignment="1" applyProtection="1">
      <alignment horizontal="center"/>
      <protection hidden="1"/>
    </xf>
    <xf numFmtId="174" fontId="0" fillId="17" borderId="32" xfId="0" applyNumberFormat="1" applyFill="1" applyBorder="1" applyAlignment="1" applyProtection="1">
      <alignment horizontal="center"/>
      <protection hidden="1"/>
    </xf>
    <xf numFmtId="0" fontId="70" fillId="0" borderId="7" xfId="0" applyFont="1" applyBorder="1" applyAlignment="1">
      <alignment horizontal="center"/>
    </xf>
    <xf numFmtId="0" fontId="68" fillId="0" borderId="8" xfId="0" applyFont="1" applyBorder="1" applyAlignment="1">
      <alignment horizontal="center"/>
    </xf>
    <xf numFmtId="0" fontId="68" fillId="0" borderId="20" xfId="0" applyFont="1" applyBorder="1" applyAlignment="1">
      <alignment horizontal="center"/>
    </xf>
    <xf numFmtId="0" fontId="10" fillId="29" borderId="4" xfId="0" applyFont="1" applyFill="1" applyBorder="1" applyAlignment="1" applyProtection="1">
      <alignment horizontal="center"/>
      <protection hidden="1"/>
    </xf>
    <xf numFmtId="0" fontId="10" fillId="29" borderId="6" xfId="0" applyFont="1" applyFill="1" applyBorder="1" applyAlignment="1" applyProtection="1">
      <alignment horizontal="center"/>
      <protection hidden="1"/>
    </xf>
    <xf numFmtId="0" fontId="99" fillId="37" borderId="1" xfId="0" applyFont="1" applyFill="1" applyBorder="1" applyAlignment="1" applyProtection="1">
      <alignment horizontal="center"/>
      <protection hidden="1"/>
    </xf>
    <xf numFmtId="0" fontId="70" fillId="0" borderId="0" xfId="0" applyFont="1" applyAlignment="1" applyProtection="1">
      <alignment horizontal="center"/>
      <protection hidden="1"/>
    </xf>
    <xf numFmtId="2" fontId="68" fillId="8" borderId="3" xfId="0" applyNumberFormat="1" applyFont="1" applyFill="1" applyBorder="1" applyAlignment="1" applyProtection="1">
      <alignment horizontal="center"/>
      <protection hidden="1"/>
    </xf>
    <xf numFmtId="0" fontId="68" fillId="8" borderId="32" xfId="0" applyFont="1" applyFill="1" applyBorder="1" applyAlignment="1" applyProtection="1">
      <alignment horizontal="center"/>
      <protection hidden="1"/>
    </xf>
    <xf numFmtId="2" fontId="68" fillId="8" borderId="32" xfId="0" applyNumberFormat="1" applyFont="1" applyFill="1" applyBorder="1" applyAlignment="1" applyProtection="1">
      <alignment horizontal="center"/>
      <protection hidden="1"/>
    </xf>
    <xf numFmtId="0" fontId="68" fillId="8" borderId="3" xfId="0" applyFont="1" applyFill="1" applyBorder="1" applyAlignment="1" applyProtection="1">
      <alignment horizontal="center"/>
      <protection hidden="1"/>
    </xf>
    <xf numFmtId="0" fontId="68" fillId="8" borderId="12" xfId="0" applyFont="1" applyFill="1" applyBorder="1" applyAlignment="1" applyProtection="1">
      <alignment horizontal="center"/>
      <protection hidden="1"/>
    </xf>
    <xf numFmtId="0" fontId="1" fillId="24" borderId="1" xfId="0" applyFont="1" applyFill="1" applyBorder="1" applyAlignment="1">
      <alignment horizontal="center"/>
    </xf>
    <xf numFmtId="0" fontId="1" fillId="24" borderId="1" xfId="0" applyFont="1" applyFill="1" applyBorder="1" applyAlignment="1">
      <alignment horizontal="center" wrapText="1"/>
    </xf>
    <xf numFmtId="0" fontId="0" fillId="7" borderId="1" xfId="0" applyFill="1" applyBorder="1" applyAlignment="1">
      <alignment horizontal="center"/>
    </xf>
    <xf numFmtId="49" fontId="0" fillId="7" borderId="1" xfId="0" applyNumberFormat="1" applyFill="1" applyBorder="1" applyAlignment="1">
      <alignment horizontal="center"/>
    </xf>
    <xf numFmtId="14" fontId="0" fillId="7" borderId="1" xfId="0" applyNumberFormat="1" applyFill="1" applyBorder="1" applyAlignment="1">
      <alignment horizontal="center"/>
    </xf>
    <xf numFmtId="0" fontId="0" fillId="25" borderId="1" xfId="0" applyFill="1" applyBorder="1" applyAlignment="1" applyProtection="1">
      <alignment horizontal="center"/>
      <protection hidden="1"/>
    </xf>
    <xf numFmtId="0" fontId="0" fillId="0" borderId="8" xfId="0" applyBorder="1" applyAlignment="1" applyProtection="1">
      <alignment horizontal="center"/>
      <protection hidden="1"/>
    </xf>
    <xf numFmtId="0" fontId="0" fillId="31" borderId="1" xfId="0" applyFill="1" applyBorder="1" applyAlignment="1" applyProtection="1">
      <alignment horizontal="center"/>
      <protection hidden="1"/>
    </xf>
    <xf numFmtId="0" fontId="99" fillId="0" borderId="0" xfId="0" applyFont="1" applyAlignment="1" applyProtection="1">
      <alignment horizontal="center"/>
      <protection hidden="1"/>
    </xf>
    <xf numFmtId="0" fontId="99" fillId="0" borderId="0" xfId="0" applyFont="1" applyAlignment="1">
      <alignment horizontal="center"/>
    </xf>
    <xf numFmtId="0" fontId="70" fillId="0" borderId="0" xfId="0" applyFont="1" applyAlignment="1">
      <alignment horizontal="center"/>
    </xf>
    <xf numFmtId="0" fontId="68" fillId="0" borderId="21" xfId="0" applyFont="1" applyBorder="1" applyAlignment="1" applyProtection="1">
      <alignment horizontal="center" vertical="center" wrapText="1"/>
      <protection hidden="1"/>
    </xf>
    <xf numFmtId="0" fontId="68" fillId="0" borderId="23" xfId="0" applyFont="1" applyBorder="1" applyAlignment="1" applyProtection="1">
      <alignment horizontal="center" vertical="center" wrapText="1"/>
      <protection hidden="1"/>
    </xf>
    <xf numFmtId="0" fontId="69" fillId="8" borderId="11" xfId="0" applyFont="1" applyFill="1" applyBorder="1" applyAlignment="1" applyProtection="1">
      <alignment horizontal="center" vertical="center"/>
      <protection hidden="1"/>
    </xf>
    <xf numFmtId="0" fontId="69" fillId="8" borderId="0" xfId="0" applyFont="1" applyFill="1" applyAlignment="1" applyProtection="1">
      <alignment horizontal="center" vertical="center"/>
      <protection hidden="1"/>
    </xf>
    <xf numFmtId="0" fontId="69" fillId="8" borderId="17" xfId="0" applyFont="1" applyFill="1" applyBorder="1" applyAlignment="1" applyProtection="1">
      <alignment horizontal="center" vertical="center"/>
      <protection hidden="1"/>
    </xf>
    <xf numFmtId="0" fontId="70" fillId="25" borderId="0" xfId="0" applyFont="1" applyFill="1" applyAlignment="1" applyProtection="1">
      <alignment horizontal="center"/>
      <protection hidden="1"/>
    </xf>
    <xf numFmtId="0" fontId="16" fillId="14" borderId="35" xfId="0" applyFont="1" applyFill="1" applyBorder="1" applyAlignment="1" applyProtection="1">
      <alignment horizontal="center"/>
      <protection hidden="1"/>
    </xf>
    <xf numFmtId="0" fontId="16" fillId="14" borderId="34" xfId="0" applyFont="1" applyFill="1" applyBorder="1" applyAlignment="1" applyProtection="1">
      <alignment horizontal="center"/>
      <protection hidden="1"/>
    </xf>
    <xf numFmtId="0" fontId="50" fillId="14" borderId="3" xfId="0" applyFont="1" applyFill="1" applyBorder="1" applyAlignment="1" applyProtection="1">
      <alignment horizontal="center"/>
      <protection hidden="1"/>
    </xf>
    <xf numFmtId="0" fontId="50" fillId="14" borderId="12" xfId="0" applyFont="1" applyFill="1" applyBorder="1" applyAlignment="1" applyProtection="1">
      <alignment horizontal="center"/>
      <protection hidden="1"/>
    </xf>
    <xf numFmtId="0" fontId="50" fillId="14" borderId="32" xfId="0" applyFont="1" applyFill="1" applyBorder="1" applyAlignment="1" applyProtection="1">
      <alignment horizontal="center"/>
      <protection hidden="1"/>
    </xf>
    <xf numFmtId="1" fontId="9" fillId="4" borderId="30" xfId="0" applyNumberFormat="1" applyFont="1" applyFill="1" applyBorder="1" applyAlignment="1" applyProtection="1">
      <alignment horizontal="center" vertical="center"/>
      <protection hidden="1"/>
    </xf>
    <xf numFmtId="1" fontId="31" fillId="4" borderId="45" xfId="0" applyNumberFormat="1" applyFont="1" applyFill="1" applyBorder="1" applyAlignment="1" applyProtection="1">
      <alignment horizontal="center" vertical="center"/>
      <protection hidden="1"/>
    </xf>
    <xf numFmtId="1" fontId="31" fillId="2" borderId="30" xfId="0" applyNumberFormat="1" applyFont="1" applyFill="1" applyBorder="1" applyAlignment="1" applyProtection="1">
      <alignment horizontal="center" vertical="center"/>
      <protection hidden="1"/>
    </xf>
    <xf numFmtId="1" fontId="31" fillId="2" borderId="45" xfId="0" applyNumberFormat="1" applyFont="1" applyFill="1" applyBorder="1" applyAlignment="1" applyProtection="1">
      <alignment horizontal="center" vertical="center"/>
      <protection hidden="1"/>
    </xf>
    <xf numFmtId="1" fontId="31" fillId="2" borderId="33" xfId="0" applyNumberFormat="1" applyFont="1" applyFill="1" applyBorder="1" applyAlignment="1" applyProtection="1">
      <alignment horizontal="center" vertical="center"/>
      <protection hidden="1"/>
    </xf>
    <xf numFmtId="1" fontId="31" fillId="2" borderId="34" xfId="0" applyNumberFormat="1" applyFont="1" applyFill="1" applyBorder="1" applyAlignment="1" applyProtection="1">
      <alignment horizontal="center" vertical="center"/>
      <protection hidden="1"/>
    </xf>
    <xf numFmtId="1" fontId="0" fillId="4" borderId="1" xfId="0" applyNumberFormat="1" applyFill="1" applyBorder="1" applyAlignment="1" applyProtection="1">
      <alignment horizontal="center"/>
      <protection hidden="1"/>
    </xf>
    <xf numFmtId="0" fontId="44" fillId="12" borderId="1" xfId="0" applyFont="1" applyFill="1" applyBorder="1" applyAlignment="1" applyProtection="1">
      <alignment horizontal="center"/>
      <protection hidden="1"/>
    </xf>
    <xf numFmtId="0" fontId="35" fillId="4" borderId="7" xfId="0" applyFont="1" applyFill="1" applyBorder="1" applyAlignment="1" applyProtection="1">
      <alignment horizontal="center"/>
      <protection hidden="1"/>
    </xf>
    <xf numFmtId="0" fontId="35" fillId="4" borderId="8" xfId="0" applyFont="1" applyFill="1" applyBorder="1" applyAlignment="1" applyProtection="1">
      <alignment horizontal="center"/>
      <protection hidden="1"/>
    </xf>
    <xf numFmtId="0" fontId="35" fillId="4" borderId="20" xfId="0" applyFont="1" applyFill="1" applyBorder="1" applyAlignment="1" applyProtection="1">
      <alignment horizontal="center"/>
      <protection hidden="1"/>
    </xf>
    <xf numFmtId="0" fontId="68" fillId="0" borderId="3" xfId="0" applyFont="1" applyBorder="1" applyAlignment="1">
      <alignment horizontal="center"/>
    </xf>
    <xf numFmtId="0" fontId="68" fillId="0" borderId="32" xfId="0" applyFont="1" applyBorder="1" applyAlignment="1">
      <alignment horizontal="center"/>
    </xf>
    <xf numFmtId="0" fontId="68" fillId="13" borderId="3" xfId="0" applyFont="1" applyFill="1" applyBorder="1" applyAlignment="1">
      <alignment horizontal="center"/>
    </xf>
    <xf numFmtId="0" fontId="68" fillId="13" borderId="32" xfId="0" applyFont="1" applyFill="1" applyBorder="1" applyAlignment="1">
      <alignment horizontal="center"/>
    </xf>
    <xf numFmtId="0" fontId="16" fillId="14" borderId="3" xfId="0" applyFont="1" applyFill="1" applyBorder="1" applyAlignment="1" applyProtection="1">
      <alignment horizontal="center"/>
      <protection hidden="1"/>
    </xf>
    <xf numFmtId="0" fontId="16" fillId="14" borderId="12" xfId="0" applyFont="1" applyFill="1" applyBorder="1" applyAlignment="1" applyProtection="1">
      <alignment horizontal="center"/>
      <protection hidden="1"/>
    </xf>
    <xf numFmtId="0" fontId="16" fillId="14" borderId="32" xfId="0" applyFont="1" applyFill="1" applyBorder="1" applyAlignment="1" applyProtection="1">
      <alignment horizontal="center"/>
      <protection hidden="1"/>
    </xf>
    <xf numFmtId="0" fontId="16" fillId="14" borderId="33" xfId="0" applyFont="1" applyFill="1" applyBorder="1" applyAlignment="1" applyProtection="1">
      <alignment horizontal="center"/>
      <protection hidden="1"/>
    </xf>
    <xf numFmtId="0" fontId="68" fillId="13" borderId="3" xfId="0" applyFont="1" applyFill="1" applyBorder="1" applyAlignment="1" applyProtection="1">
      <alignment horizontal="center"/>
      <protection hidden="1"/>
    </xf>
    <xf numFmtId="0" fontId="68" fillId="13" borderId="32" xfId="0" applyFont="1" applyFill="1" applyBorder="1" applyAlignment="1" applyProtection="1">
      <alignment horizontal="center"/>
      <protection hidden="1"/>
    </xf>
    <xf numFmtId="0" fontId="44" fillId="22" borderId="30" xfId="0" applyFont="1" applyFill="1" applyBorder="1" applyAlignment="1">
      <alignment horizontal="center"/>
    </xf>
    <xf numFmtId="0" fontId="44" fillId="22" borderId="31" xfId="0" applyFont="1" applyFill="1" applyBorder="1" applyAlignment="1">
      <alignment horizontal="center"/>
    </xf>
    <xf numFmtId="0" fontId="44" fillId="22" borderId="45" xfId="0" applyFont="1" applyFill="1" applyBorder="1" applyAlignment="1">
      <alignment horizontal="center"/>
    </xf>
    <xf numFmtId="0" fontId="44" fillId="22" borderId="3" xfId="0" applyFont="1" applyFill="1" applyBorder="1" applyAlignment="1">
      <alignment horizontal="center"/>
    </xf>
    <xf numFmtId="0" fontId="44" fillId="22" borderId="12" xfId="0" applyFont="1" applyFill="1" applyBorder="1" applyAlignment="1">
      <alignment horizontal="center"/>
    </xf>
    <xf numFmtId="0" fontId="44" fillId="22" borderId="32" xfId="0" applyFont="1" applyFill="1" applyBorder="1" applyAlignment="1">
      <alignment horizontal="center"/>
    </xf>
    <xf numFmtId="0" fontId="44" fillId="22" borderId="33" xfId="0" applyFont="1" applyFill="1" applyBorder="1" applyAlignment="1">
      <alignment horizontal="center"/>
    </xf>
    <xf numFmtId="0" fontId="44" fillId="22" borderId="35" xfId="0" applyFont="1" applyFill="1" applyBorder="1" applyAlignment="1">
      <alignment horizontal="center"/>
    </xf>
    <xf numFmtId="0" fontId="44" fillId="22" borderId="34" xfId="0" applyFont="1" applyFill="1" applyBorder="1" applyAlignment="1">
      <alignment horizontal="center"/>
    </xf>
    <xf numFmtId="49" fontId="26" fillId="0" borderId="0" xfId="0" applyNumberFormat="1" applyFont="1" applyAlignment="1" applyProtection="1">
      <alignment horizontal="center" vertical="center"/>
      <protection hidden="1"/>
    </xf>
    <xf numFmtId="0" fontId="55" fillId="0" borderId="0" xfId="0" applyFont="1" applyAlignment="1" applyProtection="1">
      <alignment horizontal="center" vertical="center" wrapText="1"/>
      <protection hidden="1"/>
    </xf>
    <xf numFmtId="0" fontId="0" fillId="0" borderId="0" xfId="0" applyAlignment="1" applyProtection="1">
      <alignment horizontal="left"/>
      <protection locked="0" hidden="1"/>
    </xf>
    <xf numFmtId="0" fontId="0" fillId="0" borderId="0" xfId="0" applyAlignment="1" applyProtection="1">
      <alignment vertical="top" wrapText="1"/>
      <protection locked="0" hidden="1"/>
    </xf>
    <xf numFmtId="0" fontId="1" fillId="0" borderId="6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0" fillId="0" borderId="30" xfId="0" applyBorder="1" applyAlignment="1" applyProtection="1">
      <alignment vertical="top" wrapText="1"/>
      <protection hidden="1"/>
    </xf>
    <xf numFmtId="0" fontId="0" fillId="0" borderId="31" xfId="0" applyBorder="1" applyAlignment="1" applyProtection="1">
      <alignment vertical="top" wrapText="1"/>
      <protection hidden="1"/>
    </xf>
    <xf numFmtId="0" fontId="0" fillId="0" borderId="45" xfId="0" applyBorder="1" applyAlignment="1" applyProtection="1">
      <alignment vertical="top" wrapText="1"/>
      <protection hidden="1"/>
    </xf>
    <xf numFmtId="0" fontId="0" fillId="0" borderId="29" xfId="0" applyBorder="1" applyAlignment="1" applyProtection="1">
      <alignment vertical="top" wrapText="1"/>
      <protection hidden="1"/>
    </xf>
    <xf numFmtId="0" fontId="0" fillId="0" borderId="0" xfId="0" applyAlignment="1" applyProtection="1">
      <alignment vertical="top" wrapText="1"/>
      <protection hidden="1"/>
    </xf>
    <xf numFmtId="0" fontId="0" fillId="0" borderId="38" xfId="0" applyBorder="1" applyAlignment="1" applyProtection="1">
      <alignment vertical="top" wrapText="1"/>
      <protection hidden="1"/>
    </xf>
    <xf numFmtId="0" fontId="0" fillId="0" borderId="57" xfId="0" applyBorder="1" applyAlignment="1" applyProtection="1">
      <alignment vertical="top" wrapText="1"/>
      <protection hidden="1"/>
    </xf>
    <xf numFmtId="0" fontId="0" fillId="0" borderId="10" xfId="0" applyBorder="1" applyAlignment="1" applyProtection="1">
      <alignment vertical="top" wrapText="1"/>
      <protection hidden="1"/>
    </xf>
    <xf numFmtId="0" fontId="0" fillId="0" borderId="51" xfId="0" applyBorder="1" applyAlignment="1" applyProtection="1">
      <alignment vertical="top" wrapText="1"/>
      <protection hidden="1"/>
    </xf>
    <xf numFmtId="0" fontId="0" fillId="0" borderId="25"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49" xfId="0" applyBorder="1" applyAlignment="1" applyProtection="1">
      <alignment horizontal="center"/>
      <protection hidden="1"/>
    </xf>
    <xf numFmtId="0" fontId="0" fillId="0" borderId="57"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7" xfId="0"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0" xfId="0" applyAlignment="1" applyProtection="1">
      <alignment horizontal="justify" vertical="top" wrapText="1"/>
      <protection locked="0" hidden="1"/>
    </xf>
    <xf numFmtId="0" fontId="0" fillId="0" borderId="10" xfId="0" applyBorder="1" applyAlignment="1" applyProtection="1">
      <alignment horizontal="center"/>
      <protection locked="0" hidden="1"/>
    </xf>
    <xf numFmtId="0" fontId="79" fillId="0" borderId="4" xfId="0" applyFont="1" applyBorder="1" applyAlignment="1" applyProtection="1">
      <alignment horizontal="center"/>
      <protection locked="0" hidden="1"/>
    </xf>
    <xf numFmtId="0" fontId="79" fillId="0" borderId="5" xfId="0" applyFont="1" applyBorder="1" applyAlignment="1" applyProtection="1">
      <alignment horizontal="center"/>
      <protection locked="0" hidden="1"/>
    </xf>
    <xf numFmtId="0" fontId="79" fillId="0" borderId="6" xfId="0" applyFont="1" applyBorder="1" applyAlignment="1" applyProtection="1">
      <alignment horizontal="center"/>
      <protection locked="0" hidden="1"/>
    </xf>
    <xf numFmtId="0" fontId="44" fillId="11" borderId="21" xfId="0" applyFont="1" applyFill="1" applyBorder="1" applyAlignment="1" applyProtection="1">
      <alignment horizontal="center" vertical="center" wrapText="1"/>
      <protection hidden="1"/>
    </xf>
    <xf numFmtId="0" fontId="44" fillId="11" borderId="23" xfId="0" applyFont="1" applyFill="1" applyBorder="1" applyAlignment="1" applyProtection="1">
      <alignment horizontal="center" vertical="center" wrapText="1"/>
      <protection hidden="1"/>
    </xf>
    <xf numFmtId="0" fontId="0" fillId="0" borderId="54"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3" xfId="0" applyBorder="1" applyAlignment="1" applyProtection="1">
      <alignment horizontal="left"/>
      <protection hidden="1"/>
    </xf>
    <xf numFmtId="0" fontId="0" fillId="0" borderId="12" xfId="0" applyBorder="1" applyAlignment="1" applyProtection="1">
      <alignment horizontal="left"/>
      <protection hidden="1"/>
    </xf>
    <xf numFmtId="0" fontId="0" fillId="0" borderId="32" xfId="0" applyBorder="1" applyAlignment="1" applyProtection="1">
      <alignment horizontal="left"/>
      <protection hidden="1"/>
    </xf>
    <xf numFmtId="0" fontId="1" fillId="0" borderId="53" xfId="0" applyFont="1" applyBorder="1" applyAlignment="1" applyProtection="1">
      <alignment horizontal="center" vertical="center"/>
      <protection hidden="1"/>
    </xf>
    <xf numFmtId="0" fontId="1" fillId="0" borderId="58"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0" fillId="0" borderId="31" xfId="0"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38" xfId="0" applyBorder="1" applyAlignment="1" applyProtection="1">
      <alignment horizontal="left" vertical="center" wrapText="1"/>
      <protection hidden="1"/>
    </xf>
    <xf numFmtId="0" fontId="0" fillId="0" borderId="35" xfId="0" applyBorder="1" applyAlignment="1" applyProtection="1">
      <alignment horizontal="left" vertical="center" wrapText="1"/>
      <protection hidden="1"/>
    </xf>
    <xf numFmtId="0" fontId="0" fillId="0" borderId="30" xfId="0" applyBorder="1" applyAlignment="1" applyProtection="1">
      <alignment horizontal="left" wrapText="1"/>
      <protection hidden="1"/>
    </xf>
    <xf numFmtId="0" fontId="0" fillId="0" borderId="31" xfId="0" applyBorder="1" applyAlignment="1" applyProtection="1">
      <alignment horizontal="left" wrapText="1"/>
      <protection hidden="1"/>
    </xf>
    <xf numFmtId="0" fontId="0" fillId="0" borderId="45" xfId="0" applyBorder="1" applyAlignment="1" applyProtection="1">
      <alignment horizontal="left" wrapText="1"/>
      <protection hidden="1"/>
    </xf>
    <xf numFmtId="0" fontId="0" fillId="0" borderId="33" xfId="0" applyBorder="1" applyAlignment="1" applyProtection="1">
      <alignment horizontal="left" wrapText="1"/>
      <protection hidden="1"/>
    </xf>
    <xf numFmtId="0" fontId="0" fillId="0" borderId="35" xfId="0" applyBorder="1" applyAlignment="1" applyProtection="1">
      <alignment horizontal="left" wrapText="1"/>
      <protection hidden="1"/>
    </xf>
    <xf numFmtId="0" fontId="0" fillId="0" borderId="34" xfId="0" applyBorder="1" applyAlignment="1" applyProtection="1">
      <alignment horizontal="left" wrapText="1"/>
      <protection hidden="1"/>
    </xf>
    <xf numFmtId="0" fontId="44" fillId="0" borderId="4" xfId="0" applyFont="1" applyBorder="1" applyAlignment="1" applyProtection="1">
      <alignment horizontal="center" vertical="center"/>
      <protection hidden="1"/>
    </xf>
    <xf numFmtId="0" fontId="44" fillId="0" borderId="5" xfId="0" applyFont="1" applyBorder="1" applyAlignment="1" applyProtection="1">
      <alignment horizontal="center" vertical="center"/>
      <protection hidden="1"/>
    </xf>
    <xf numFmtId="0" fontId="44" fillId="0" borderId="6" xfId="0" applyFont="1" applyBorder="1" applyAlignment="1" applyProtection="1">
      <alignment horizontal="center" vertical="center"/>
      <protection hidden="1"/>
    </xf>
    <xf numFmtId="0" fontId="48" fillId="0" borderId="13" xfId="0" applyFont="1" applyBorder="1" applyAlignment="1" applyProtection="1">
      <alignment horizontal="center" vertical="top" wrapText="1"/>
      <protection hidden="1"/>
    </xf>
    <xf numFmtId="0" fontId="48" fillId="0" borderId="15" xfId="0" applyFont="1" applyBorder="1" applyAlignment="1" applyProtection="1">
      <alignment horizontal="center" vertical="top" wrapText="1"/>
      <protection hidden="1"/>
    </xf>
    <xf numFmtId="0" fontId="44" fillId="0" borderId="36" xfId="0" applyFont="1" applyBorder="1" applyAlignment="1" applyProtection="1">
      <alignment horizontal="center" vertical="center"/>
      <protection hidden="1"/>
    </xf>
    <xf numFmtId="0" fontId="44" fillId="0" borderId="8" xfId="0" applyFont="1" applyBorder="1" applyAlignment="1" applyProtection="1">
      <alignment horizontal="center" vertical="center"/>
      <protection hidden="1"/>
    </xf>
    <xf numFmtId="0" fontId="44" fillId="0" borderId="37" xfId="0" applyFont="1" applyBorder="1" applyAlignment="1" applyProtection="1">
      <alignment horizontal="center" vertical="center"/>
      <protection hidden="1"/>
    </xf>
    <xf numFmtId="0" fontId="44" fillId="0" borderId="33" xfId="0" applyFont="1" applyBorder="1" applyAlignment="1" applyProtection="1">
      <alignment horizontal="center" vertical="center"/>
      <protection hidden="1"/>
    </xf>
    <xf numFmtId="0" fontId="44" fillId="0" borderId="35" xfId="0" applyFont="1" applyBorder="1" applyAlignment="1" applyProtection="1">
      <alignment horizontal="center" vertical="center"/>
      <protection hidden="1"/>
    </xf>
    <xf numFmtId="0" fontId="44" fillId="0" borderId="34" xfId="0" applyFont="1" applyBorder="1" applyAlignment="1" applyProtection="1">
      <alignment horizontal="center" vertical="center"/>
      <protection hidden="1"/>
    </xf>
    <xf numFmtId="0" fontId="48" fillId="0" borderId="41" xfId="0" applyFont="1" applyBorder="1" applyAlignment="1" applyProtection="1">
      <alignment horizontal="center"/>
      <protection hidden="1"/>
    </xf>
    <xf numFmtId="0" fontId="48" fillId="0" borderId="46" xfId="0" applyFont="1" applyBorder="1" applyAlignment="1" applyProtection="1">
      <alignment horizontal="center"/>
      <protection hidden="1"/>
    </xf>
    <xf numFmtId="0" fontId="48" fillId="0" borderId="42" xfId="0" applyFont="1" applyBorder="1" applyAlignment="1" applyProtection="1">
      <alignment horizontal="center"/>
      <protection hidden="1"/>
    </xf>
    <xf numFmtId="0" fontId="44" fillId="0" borderId="14" xfId="0" applyFont="1" applyBorder="1" applyAlignment="1" applyProtection="1">
      <alignment horizontal="center" vertical="center"/>
      <protection hidden="1"/>
    </xf>
    <xf numFmtId="0" fontId="44" fillId="0" borderId="16" xfId="0" applyFont="1" applyBorder="1" applyAlignment="1" applyProtection="1">
      <alignment horizontal="center" vertical="center"/>
      <protection hidden="1"/>
    </xf>
    <xf numFmtId="0" fontId="48" fillId="0" borderId="3" xfId="0" applyFont="1" applyBorder="1" applyAlignment="1" applyProtection="1">
      <alignment horizontal="center"/>
      <protection hidden="1"/>
    </xf>
    <xf numFmtId="0" fontId="48" fillId="0" borderId="32" xfId="0" applyFont="1" applyBorder="1" applyAlignment="1" applyProtection="1">
      <alignment horizontal="center"/>
      <protection hidden="1"/>
    </xf>
    <xf numFmtId="0" fontId="47" fillId="0" borderId="52" xfId="0" applyFont="1" applyBorder="1" applyAlignment="1" applyProtection="1">
      <alignment horizontal="center"/>
      <protection hidden="1"/>
    </xf>
    <xf numFmtId="0" fontId="16" fillId="0" borderId="12" xfId="0" applyFont="1" applyBorder="1" applyAlignment="1" applyProtection="1">
      <alignment horizontal="center"/>
      <protection hidden="1"/>
    </xf>
    <xf numFmtId="0" fontId="16" fillId="0" borderId="32" xfId="0" applyFont="1" applyBorder="1" applyAlignment="1" applyProtection="1">
      <alignment horizontal="center"/>
      <protection hidden="1"/>
    </xf>
    <xf numFmtId="0" fontId="47" fillId="0" borderId="3" xfId="0" applyFont="1" applyBorder="1" applyAlignment="1" applyProtection="1">
      <alignment horizontal="center"/>
      <protection hidden="1"/>
    </xf>
    <xf numFmtId="0" fontId="16" fillId="0" borderId="43" xfId="0" applyFont="1" applyBorder="1" applyAlignment="1" applyProtection="1">
      <alignment horizontal="center"/>
      <protection hidden="1"/>
    </xf>
    <xf numFmtId="0" fontId="48" fillId="0" borderId="53" xfId="0" applyFont="1" applyBorder="1" applyAlignment="1" applyProtection="1">
      <alignment horizontal="center" vertical="top" wrapText="1"/>
      <protection hidden="1"/>
    </xf>
    <xf numFmtId="0" fontId="48" fillId="0" borderId="25" xfId="0" applyFont="1" applyBorder="1" applyAlignment="1" applyProtection="1">
      <alignment horizontal="center" vertical="center" wrapText="1"/>
      <protection hidden="1"/>
    </xf>
    <xf numFmtId="0" fontId="48" fillId="0" borderId="2" xfId="0" applyFont="1" applyBorder="1" applyAlignment="1" applyProtection="1">
      <alignment horizontal="center" vertical="center" wrapText="1"/>
      <protection hidden="1"/>
    </xf>
    <xf numFmtId="0" fontId="16" fillId="0" borderId="25" xfId="0" applyFont="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30" xfId="0" applyFont="1" applyBorder="1" applyAlignment="1" applyProtection="1">
      <alignment horizontal="center" vertical="center"/>
      <protection hidden="1"/>
    </xf>
    <xf numFmtId="0" fontId="16" fillId="0" borderId="45" xfId="0" applyFont="1" applyBorder="1" applyAlignment="1" applyProtection="1">
      <alignment horizontal="center" vertical="center"/>
      <protection hidden="1"/>
    </xf>
    <xf numFmtId="0" fontId="16" fillId="0" borderId="33"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31"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48" fillId="0" borderId="54" xfId="0" applyFont="1" applyBorder="1" applyAlignment="1" applyProtection="1">
      <alignment horizontal="center" vertical="center" wrapText="1"/>
      <protection hidden="1"/>
    </xf>
    <xf numFmtId="0" fontId="48" fillId="0" borderId="16" xfId="0" applyFont="1" applyBorder="1" applyAlignment="1" applyProtection="1">
      <alignment horizontal="center" vertical="center" wrapText="1"/>
      <protection hidden="1"/>
    </xf>
    <xf numFmtId="0" fontId="0" fillId="0" borderId="2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26" fillId="0" borderId="3" xfId="0" applyFont="1" applyBorder="1" applyAlignment="1" applyProtection="1">
      <alignment horizontal="left" vertical="top" wrapText="1"/>
      <protection hidden="1"/>
    </xf>
    <xf numFmtId="0" fontId="26" fillId="0" borderId="32" xfId="0" applyFont="1" applyBorder="1" applyAlignment="1" applyProtection="1">
      <alignment horizontal="left" vertical="top" wrapText="1"/>
      <protection hidden="1"/>
    </xf>
    <xf numFmtId="0" fontId="0" fillId="0" borderId="3"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11" fillId="6" borderId="58" xfId="0" applyFont="1" applyFill="1" applyBorder="1" applyAlignment="1" applyProtection="1">
      <alignment horizontal="center"/>
      <protection hidden="1"/>
    </xf>
    <xf numFmtId="0" fontId="11" fillId="6" borderId="15" xfId="0" applyFont="1" applyFill="1" applyBorder="1" applyAlignment="1" applyProtection="1">
      <alignment horizontal="center"/>
      <protection hidden="1"/>
    </xf>
    <xf numFmtId="0" fontId="11" fillId="6" borderId="55" xfId="0" applyFont="1" applyFill="1" applyBorder="1" applyAlignment="1" applyProtection="1">
      <alignment horizontal="center"/>
      <protection hidden="1"/>
    </xf>
    <xf numFmtId="0" fontId="11" fillId="6" borderId="68" xfId="0" applyFont="1" applyFill="1" applyBorder="1" applyAlignment="1" applyProtection="1">
      <alignment horizontal="center"/>
      <protection hidden="1"/>
    </xf>
    <xf numFmtId="0" fontId="72" fillId="0" borderId="10" xfId="0" applyFont="1" applyBorder="1" applyAlignment="1" applyProtection="1">
      <alignment horizontal="center"/>
      <protection locked="0"/>
    </xf>
    <xf numFmtId="0" fontId="68" fillId="0" borderId="4" xfId="0" applyFont="1" applyBorder="1" applyAlignment="1">
      <alignment horizontal="center"/>
    </xf>
    <xf numFmtId="0" fontId="68" fillId="0" borderId="5" xfId="0" applyFont="1" applyBorder="1" applyAlignment="1">
      <alignment horizontal="center"/>
    </xf>
    <xf numFmtId="0" fontId="68" fillId="0" borderId="6" xfId="0" applyFont="1" applyBorder="1" applyAlignment="1">
      <alignment horizontal="center"/>
    </xf>
    <xf numFmtId="0" fontId="1" fillId="4" borderId="4"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hidden="1"/>
    </xf>
    <xf numFmtId="0" fontId="84" fillId="25" borderId="4" xfId="0" applyFont="1" applyFill="1" applyBorder="1" applyAlignment="1" applyProtection="1">
      <alignment horizontal="center" vertical="center"/>
      <protection hidden="1"/>
    </xf>
    <xf numFmtId="0" fontId="84" fillId="25" borderId="5" xfId="0" applyFont="1" applyFill="1" applyBorder="1" applyAlignment="1" applyProtection="1">
      <alignment horizontal="center" vertical="center"/>
      <protection hidden="1"/>
    </xf>
    <xf numFmtId="0" fontId="84" fillId="25" borderId="6" xfId="0" applyFont="1" applyFill="1" applyBorder="1" applyAlignment="1" applyProtection="1">
      <alignment horizontal="center" vertical="center"/>
      <protection hidden="1"/>
    </xf>
    <xf numFmtId="0" fontId="70" fillId="0" borderId="0" xfId="0" applyFont="1" applyAlignment="1" applyProtection="1">
      <alignment horizontal="center" vertical="center"/>
      <protection hidden="1"/>
    </xf>
    <xf numFmtId="167" fontId="1" fillId="0" borderId="0" xfId="0" applyNumberFormat="1" applyFont="1" applyAlignment="1" applyProtection="1">
      <alignment horizontal="center" vertical="center"/>
      <protection hidden="1"/>
    </xf>
    <xf numFmtId="0" fontId="84" fillId="0" borderId="0" xfId="0" applyFont="1" applyAlignment="1" applyProtection="1">
      <alignment horizontal="center"/>
      <protection hidden="1"/>
    </xf>
    <xf numFmtId="0" fontId="65" fillId="30" borderId="0" xfId="0" applyFont="1" applyFill="1" applyAlignment="1">
      <alignment horizontal="center"/>
    </xf>
    <xf numFmtId="0" fontId="31" fillId="30" borderId="0" xfId="0" applyFont="1" applyFill="1" applyAlignment="1">
      <alignment horizontal="center"/>
    </xf>
    <xf numFmtId="0" fontId="22" fillId="26" borderId="4" xfId="0" applyFont="1" applyFill="1" applyBorder="1" applyAlignment="1">
      <alignment horizontal="center"/>
    </xf>
    <xf numFmtId="0" fontId="1" fillId="16" borderId="7" xfId="0" applyFont="1" applyFill="1" applyBorder="1" applyAlignment="1">
      <alignment horizontal="center"/>
    </xf>
    <xf numFmtId="0" fontId="1" fillId="16" borderId="8" xfId="0" applyFont="1" applyFill="1" applyBorder="1" applyAlignment="1">
      <alignment horizontal="center"/>
    </xf>
    <xf numFmtId="0" fontId="1" fillId="16" borderId="20" xfId="0" applyFont="1" applyFill="1" applyBorder="1" applyAlignment="1">
      <alignment horizontal="center"/>
    </xf>
    <xf numFmtId="0" fontId="68" fillId="16" borderId="7" xfId="0" applyFont="1" applyFill="1" applyBorder="1" applyAlignment="1">
      <alignment horizontal="center"/>
    </xf>
    <xf numFmtId="0" fontId="68" fillId="16" borderId="8" xfId="0" applyFont="1" applyFill="1" applyBorder="1" applyAlignment="1">
      <alignment horizontal="center"/>
    </xf>
    <xf numFmtId="0" fontId="68" fillId="16" borderId="20" xfId="0" applyFont="1" applyFill="1" applyBorder="1" applyAlignment="1">
      <alignment horizontal="center"/>
    </xf>
    <xf numFmtId="0" fontId="68" fillId="0" borderId="83" xfId="0" applyFont="1" applyBorder="1" applyAlignment="1">
      <alignment horizontal="center"/>
    </xf>
    <xf numFmtId="165" fontId="68" fillId="0" borderId="83" xfId="0" applyNumberFormat="1" applyFont="1" applyBorder="1" applyAlignment="1">
      <alignment horizontal="center"/>
    </xf>
    <xf numFmtId="0" fontId="68" fillId="0" borderId="1" xfId="0" applyFont="1" applyBorder="1" applyAlignment="1">
      <alignment horizontal="center" vertical="center"/>
    </xf>
    <xf numFmtId="0" fontId="68" fillId="0" borderId="56" xfId="0" applyFont="1" applyBorder="1" applyAlignment="1">
      <alignment horizontal="center" vertical="center"/>
    </xf>
    <xf numFmtId="0" fontId="68" fillId="0" borderId="83" xfId="0" applyFont="1" applyBorder="1" applyAlignment="1">
      <alignment horizontal="center" vertical="center"/>
    </xf>
    <xf numFmtId="0" fontId="68" fillId="0" borderId="84" xfId="0" applyFont="1" applyBorder="1" applyAlignment="1">
      <alignment horizontal="center" vertical="center"/>
    </xf>
    <xf numFmtId="0" fontId="68" fillId="0" borderId="1" xfId="0" applyFont="1" applyBorder="1" applyAlignment="1">
      <alignment horizontal="center"/>
    </xf>
    <xf numFmtId="165" fontId="68" fillId="0" borderId="39" xfId="0" applyNumberFormat="1" applyFont="1" applyBorder="1" applyAlignment="1">
      <alignment horizontal="center"/>
    </xf>
    <xf numFmtId="165" fontId="68" fillId="0" borderId="40" xfId="0" applyNumberFormat="1" applyFont="1" applyBorder="1" applyAlignment="1">
      <alignment horizontal="center"/>
    </xf>
    <xf numFmtId="0" fontId="68" fillId="0" borderId="39" xfId="0" applyFont="1" applyBorder="1" applyAlignment="1">
      <alignment horizontal="center"/>
    </xf>
    <xf numFmtId="0" fontId="68" fillId="0" borderId="40" xfId="0" applyFont="1" applyBorder="1" applyAlignment="1">
      <alignment horizontal="center"/>
    </xf>
    <xf numFmtId="0" fontId="43" fillId="0" borderId="11" xfId="0" applyFont="1" applyBorder="1" applyAlignment="1" applyProtection="1">
      <alignment horizontal="center"/>
      <protection hidden="1"/>
    </xf>
  </cellXfs>
  <cellStyles count="1">
    <cellStyle name="Normal" xfId="0" builtinId="0"/>
  </cellStyles>
  <dxfs count="396">
    <dxf>
      <font>
        <color theme="0"/>
      </font>
    </dxf>
    <dxf>
      <font>
        <color theme="0"/>
      </font>
    </dxf>
    <dxf>
      <font>
        <color theme="0"/>
      </font>
    </dxf>
    <dxf>
      <font>
        <color theme="0"/>
      </font>
      <fill>
        <patternFill>
          <bgColor rgb="FFFF0000"/>
        </patternFill>
      </fill>
    </dxf>
    <dxf>
      <font>
        <color theme="0"/>
      </font>
      <fill>
        <patternFill>
          <bgColor rgb="FF00B0F0"/>
        </patternFill>
      </fill>
    </dxf>
    <dxf>
      <font>
        <color theme="0"/>
      </font>
    </dxf>
    <dxf>
      <font>
        <color theme="0"/>
      </font>
    </dxf>
    <dxf>
      <font>
        <color theme="0"/>
      </font>
    </dxf>
    <dxf>
      <font>
        <color theme="0"/>
      </font>
    </dxf>
    <dxf>
      <font>
        <color rgb="FF9C0006"/>
      </font>
      <fill>
        <patternFill>
          <bgColor rgb="FFFFC7CE"/>
        </patternFill>
      </fill>
    </dxf>
    <dxf>
      <font>
        <color theme="0"/>
      </font>
      <fill>
        <patternFill>
          <bgColor rgb="FFFF0000"/>
        </patternFill>
      </fill>
    </dxf>
    <dxf>
      <font>
        <color theme="0"/>
      </font>
      <fill>
        <patternFill>
          <bgColor rgb="FF00B0F0"/>
        </patternFill>
      </fill>
    </dxf>
    <dxf>
      <font>
        <color rgb="FFFFC000"/>
      </font>
    </dxf>
    <dxf>
      <font>
        <color theme="0"/>
      </font>
      <fill>
        <patternFill>
          <bgColor rgb="FFFF0000"/>
        </patternFill>
      </fill>
    </dxf>
    <dxf>
      <font>
        <color rgb="FFFFC00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4" tint="0.79998168889431442"/>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9"/>
      </font>
    </dxf>
    <dxf>
      <font>
        <color theme="9"/>
      </font>
    </dxf>
    <dxf>
      <font>
        <color theme="2"/>
      </font>
    </dxf>
    <dxf>
      <font>
        <color theme="9"/>
      </font>
    </dxf>
    <dxf>
      <font>
        <color theme="9"/>
      </font>
    </dxf>
    <dxf>
      <font>
        <color theme="9"/>
      </font>
    </dxf>
    <dxf>
      <font>
        <color theme="9"/>
      </font>
    </dxf>
    <dxf>
      <font>
        <color theme="0"/>
      </font>
    </dxf>
    <dxf>
      <font>
        <color theme="0" tint="-4.9989318521683403E-2"/>
      </font>
    </dxf>
    <dxf>
      <fill>
        <patternFill>
          <bgColor theme="3" tint="0.79998168889431442"/>
        </patternFill>
      </fill>
    </dxf>
    <dxf>
      <fill>
        <patternFill>
          <bgColor theme="3" tint="0.79998168889431442"/>
        </patternFill>
      </fill>
    </dxf>
    <dxf>
      <font>
        <color theme="0"/>
      </font>
    </dxf>
    <dxf>
      <font>
        <color theme="9"/>
      </font>
    </dxf>
    <dxf>
      <font>
        <color rgb="FFFFC000"/>
      </font>
    </dxf>
    <dxf>
      <font>
        <color rgb="FFFFC000"/>
      </font>
    </dxf>
    <dxf>
      <font>
        <color rgb="FFFFC000"/>
      </font>
    </dxf>
    <dxf>
      <font>
        <color theme="0"/>
      </font>
    </dxf>
    <dxf>
      <fill>
        <patternFill>
          <bgColor theme="3" tint="0.79998168889431442"/>
        </patternFill>
      </fill>
    </dxf>
    <dxf>
      <font>
        <color theme="0"/>
      </font>
    </dxf>
    <dxf>
      <font>
        <color theme="0"/>
      </font>
    </dxf>
    <dxf>
      <fill>
        <patternFill>
          <bgColor theme="3" tint="0.79998168889431442"/>
        </patternFill>
      </fill>
    </dxf>
    <dxf>
      <fill>
        <patternFill>
          <bgColor theme="3" tint="0.79998168889431442"/>
        </patternFill>
      </fill>
    </dxf>
    <dxf>
      <font>
        <color theme="3" tint="0.79998168889431442"/>
      </font>
    </dxf>
    <dxf>
      <font>
        <color theme="3" tint="0.79998168889431442"/>
      </font>
    </dxf>
    <dxf>
      <font>
        <color theme="3" tint="0.79998168889431442"/>
      </font>
    </dxf>
    <dxf>
      <font>
        <color theme="9" tint="0.79998168889431442"/>
      </font>
    </dxf>
    <dxf>
      <fill>
        <patternFill>
          <bgColor theme="3" tint="0.79998168889431442"/>
        </patternFill>
      </fill>
    </dxf>
    <dxf>
      <font>
        <color theme="3" tint="0.79998168889431442"/>
      </font>
      <fill>
        <patternFill>
          <bgColor theme="3" tint="0.79998168889431442"/>
        </patternFill>
      </fill>
    </dxf>
    <dxf>
      <font>
        <color theme="3" tint="0.79998168889431442"/>
      </font>
    </dxf>
    <dxf>
      <font>
        <color rgb="FFFF0000"/>
      </font>
      <fill>
        <patternFill>
          <bgColor theme="3"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ill>
        <patternFill>
          <bgColor theme="3" tint="0.79998168889431442"/>
        </patternFill>
      </fill>
    </dxf>
    <dxf>
      <font>
        <color theme="3" tint="0.79998168889431442"/>
      </font>
    </dxf>
    <dxf>
      <font>
        <color rgb="FF00B0F0"/>
      </font>
    </dxf>
    <dxf>
      <font>
        <color theme="4"/>
      </font>
    </dxf>
    <dxf>
      <font>
        <color theme="3" tint="0.79998168889431442"/>
      </font>
    </dxf>
    <dxf>
      <font>
        <color theme="0"/>
      </font>
    </dxf>
    <dxf>
      <font>
        <color theme="0"/>
      </font>
    </dxf>
    <dxf>
      <font>
        <color theme="3" tint="0.79998168889431442"/>
      </font>
    </dxf>
    <dxf>
      <fill>
        <patternFill>
          <bgColor theme="3" tint="0.79998168889431442"/>
        </patternFill>
      </fill>
    </dxf>
    <dxf>
      <font>
        <color theme="3" tint="0.59996337778862885"/>
      </font>
      <fill>
        <patternFill>
          <bgColor theme="3" tint="0.79998168889431442"/>
        </patternFill>
      </fill>
    </dxf>
    <dxf>
      <font>
        <color theme="3" tint="0.79998168889431442"/>
      </font>
      <fill>
        <patternFill>
          <bgColor theme="3" tint="0.79998168889431442"/>
        </patternFill>
      </fill>
    </dxf>
    <dxf>
      <font>
        <color rgb="FF00B0F0"/>
      </font>
    </dxf>
    <dxf>
      <font>
        <color theme="0"/>
      </font>
      <fill>
        <patternFill patternType="none">
          <bgColor auto="1"/>
        </patternFill>
      </fill>
    </dxf>
    <dxf>
      <fill>
        <patternFill>
          <bgColor theme="3" tint="0.79998168889431442"/>
        </patternFill>
      </fill>
    </dxf>
    <dxf>
      <font>
        <color rgb="FFFF0000"/>
      </font>
      <fill>
        <patternFill>
          <bgColor theme="3" tint="0.79998168889431442"/>
        </patternFill>
      </fill>
    </dxf>
    <dxf>
      <fill>
        <patternFill>
          <bgColor theme="3" tint="0.79998168889431442"/>
        </patternFill>
      </fill>
    </dxf>
    <dxf>
      <font>
        <color theme="3" tint="0.79998168889431442"/>
      </font>
    </dxf>
    <dxf>
      <font>
        <color theme="3" tint="0.79998168889431442"/>
      </font>
    </dxf>
    <dxf>
      <font>
        <color theme="0"/>
      </font>
    </dxf>
    <dxf>
      <font>
        <color theme="3" tint="0.79998168889431442"/>
      </font>
    </dxf>
    <dxf>
      <font>
        <color theme="3" tint="0.79998168889431442"/>
      </font>
    </dxf>
    <dxf>
      <font>
        <color theme="0"/>
      </font>
      <fill>
        <patternFill>
          <bgColor rgb="FF92D050"/>
        </patternFill>
      </fill>
    </dxf>
    <dxf>
      <font>
        <color theme="0"/>
      </font>
      <fill>
        <patternFill>
          <bgColor rgb="FFFF0000"/>
        </patternFill>
      </fill>
    </dxf>
    <dxf>
      <font>
        <color rgb="FF92D050"/>
      </font>
    </dxf>
    <dxf>
      <font>
        <color rgb="FF92D050"/>
      </font>
    </dxf>
    <dxf>
      <font>
        <color rgb="FFFF0000"/>
      </font>
      <fill>
        <patternFill>
          <bgColor theme="3" tint="0.79998168889431442"/>
        </patternFill>
      </fill>
    </dxf>
    <dxf>
      <font>
        <color rgb="FF92D050"/>
      </font>
    </dxf>
    <dxf>
      <font>
        <color theme="3" tint="0.79998168889431442"/>
      </font>
    </dxf>
    <dxf>
      <font>
        <color theme="3" tint="0.79998168889431442"/>
      </font>
    </dxf>
    <dxf>
      <font>
        <color theme="3" tint="0.79998168889431442"/>
      </font>
    </dxf>
    <dxf>
      <fill>
        <patternFill patternType="none">
          <bgColor auto="1"/>
        </patternFill>
      </fill>
    </dxf>
    <dxf>
      <font>
        <color rgb="FFFF0000"/>
      </font>
      <fill>
        <patternFill>
          <bgColor theme="3" tint="0.79998168889431442"/>
        </patternFill>
      </fill>
    </dxf>
    <dxf>
      <font>
        <color theme="3" tint="0.79998168889431442"/>
      </font>
    </dxf>
    <dxf>
      <font>
        <color theme="3" tint="0.79998168889431442"/>
      </font>
    </dxf>
    <dxf>
      <font>
        <color rgb="FFFF0000"/>
      </font>
      <fill>
        <patternFill>
          <bgColor theme="3" tint="0.79998168889431442"/>
        </patternFill>
      </fill>
    </dxf>
    <dxf>
      <font>
        <color rgb="FF92D050"/>
      </font>
    </dxf>
    <dxf>
      <font>
        <color theme="5" tint="0.79998168889431442"/>
      </font>
    </dxf>
    <dxf>
      <font>
        <color theme="0"/>
      </font>
      <fill>
        <patternFill>
          <bgColor rgb="FFFF0000"/>
        </patternFill>
      </fill>
    </dxf>
    <dxf>
      <font>
        <color theme="0"/>
      </font>
      <fill>
        <patternFill>
          <bgColor rgb="FF00B0F0"/>
        </patternFill>
      </fill>
    </dxf>
    <dxf>
      <font>
        <color theme="0"/>
      </font>
    </dxf>
    <dxf>
      <font>
        <color theme="3" tint="0.79998168889431442"/>
      </font>
    </dxf>
    <dxf>
      <font>
        <color theme="3" tint="0.79998168889431442"/>
      </font>
    </dxf>
    <dxf>
      <font>
        <color theme="3" tint="0.79998168889431442"/>
      </font>
    </dxf>
    <dxf>
      <font>
        <color rgb="FFFFC000"/>
      </font>
    </dxf>
    <dxf>
      <font>
        <color rgb="FFFF0000"/>
      </font>
      <fill>
        <patternFill>
          <bgColor theme="3" tint="0.79998168889431442"/>
        </patternFill>
      </fill>
    </dxf>
    <dxf>
      <font>
        <color theme="0"/>
      </font>
    </dxf>
    <dxf>
      <font>
        <color theme="0"/>
      </font>
    </dxf>
    <dxf>
      <font>
        <color theme="0"/>
      </font>
      <fill>
        <patternFill>
          <bgColor rgb="FFFF0000"/>
        </patternFill>
      </fill>
    </dxf>
    <dxf>
      <font>
        <color theme="0"/>
      </font>
      <fill>
        <patternFill>
          <bgColor rgb="FF00B0F0"/>
        </patternFill>
      </fill>
    </dxf>
    <dxf>
      <font>
        <color rgb="FFFFC000"/>
      </font>
    </dxf>
    <dxf>
      <font>
        <color rgb="FFFFC000"/>
      </font>
    </dxf>
    <dxf>
      <font>
        <color rgb="FFFFC000"/>
      </font>
    </dxf>
    <dxf>
      <font>
        <color theme="3" tint="0.79998168889431442"/>
      </font>
    </dxf>
    <dxf>
      <font>
        <color theme="4" tint="0.79998168889431442"/>
      </font>
    </dxf>
    <dxf>
      <font>
        <color theme="0"/>
      </font>
    </dxf>
    <dxf>
      <font>
        <color theme="3" tint="0.79998168889431442"/>
      </font>
    </dxf>
    <dxf>
      <font>
        <color theme="3" tint="0.79998168889431442"/>
      </font>
    </dxf>
    <dxf>
      <font>
        <color theme="3" tint="0.79998168889431442"/>
      </font>
    </dxf>
    <dxf>
      <font>
        <color rgb="FFFFC000"/>
      </font>
    </dxf>
    <dxf>
      <font>
        <color theme="0"/>
      </font>
      <fill>
        <patternFill>
          <bgColor rgb="FF00B0F0"/>
        </patternFill>
      </fill>
    </dxf>
    <dxf>
      <font>
        <color theme="0"/>
      </font>
      <fill>
        <patternFill>
          <bgColor rgb="FFFF0000"/>
        </patternFill>
      </fill>
    </dxf>
    <dxf>
      <font>
        <color theme="0"/>
      </font>
    </dxf>
    <dxf>
      <font>
        <color theme="0"/>
      </font>
      <fill>
        <patternFill>
          <bgColor rgb="FF00B0F0"/>
        </patternFill>
      </fill>
    </dxf>
    <dxf>
      <font>
        <color theme="0"/>
      </font>
      <fill>
        <patternFill>
          <bgColor rgb="FFFF0000"/>
        </patternFill>
      </fill>
    </dxf>
    <dxf>
      <font>
        <color theme="0"/>
      </font>
    </dxf>
    <dxf>
      <font>
        <color theme="0"/>
      </font>
      <fill>
        <patternFill>
          <bgColor rgb="FF00B0F0"/>
        </patternFill>
      </fill>
    </dxf>
    <dxf>
      <font>
        <color theme="0"/>
      </font>
      <fill>
        <patternFill>
          <bgColor rgb="FFFF0000"/>
        </patternFill>
      </fill>
    </dxf>
    <dxf>
      <font>
        <color theme="0"/>
      </font>
    </dxf>
    <dxf>
      <font>
        <color theme="0"/>
      </font>
      <fill>
        <patternFill>
          <bgColor rgb="FFFF0000"/>
        </patternFill>
      </fill>
    </dxf>
    <dxf>
      <font>
        <color theme="0"/>
      </font>
    </dxf>
    <dxf>
      <font>
        <color theme="0"/>
      </font>
      <fill>
        <patternFill>
          <bgColor rgb="FF00B0F0"/>
        </patternFill>
      </fill>
    </dxf>
    <dxf>
      <font>
        <color theme="0"/>
      </font>
      <fill>
        <patternFill>
          <bgColor rgb="FF00B0F0"/>
        </patternFill>
      </fill>
    </dxf>
    <dxf>
      <font>
        <color theme="0"/>
      </font>
    </dxf>
    <dxf>
      <font>
        <color theme="0"/>
      </font>
      <fill>
        <patternFill>
          <bgColor rgb="FFFF0000"/>
        </patternFill>
      </fill>
    </dxf>
    <dxf>
      <font>
        <color theme="0"/>
      </font>
    </dxf>
    <dxf>
      <font>
        <color theme="0"/>
      </font>
      <fill>
        <patternFill>
          <bgColor rgb="FFFF0000"/>
        </patternFill>
      </fill>
    </dxf>
    <dxf>
      <font>
        <color theme="0"/>
      </font>
      <fill>
        <patternFill>
          <bgColor rgb="FF00B0F0"/>
        </patternFill>
      </fill>
    </dxf>
    <dxf>
      <font>
        <color theme="0"/>
      </font>
      <fill>
        <patternFill>
          <bgColor rgb="FFFF0000"/>
        </patternFill>
      </fill>
    </dxf>
    <dxf>
      <font>
        <color rgb="FF9C0006"/>
      </font>
      <fill>
        <patternFill>
          <bgColor rgb="FFFFC7CE"/>
        </patternFill>
      </fill>
    </dxf>
    <dxf>
      <font>
        <color theme="0"/>
      </font>
      <fill>
        <patternFill>
          <bgColor rgb="FF00B0F0"/>
        </patternFill>
      </fill>
    </dxf>
    <dxf>
      <font>
        <color rgb="FFFFC000"/>
      </font>
    </dxf>
    <dxf>
      <font>
        <color rgb="FFFFC000"/>
      </font>
    </dxf>
    <dxf>
      <font>
        <color theme="0"/>
      </font>
      <fill>
        <patternFill>
          <bgColor rgb="FFFF0000"/>
        </patternFill>
      </fill>
    </dxf>
    <dxf>
      <font>
        <color theme="0"/>
      </font>
      <fill>
        <patternFill>
          <bgColor rgb="FF00B0F0"/>
        </patternFill>
      </fill>
    </dxf>
    <dxf>
      <font>
        <color rgb="FFFFC000"/>
      </font>
    </dxf>
    <dxf>
      <font>
        <color rgb="FFFFC000"/>
      </font>
    </dxf>
    <dxf>
      <font>
        <color theme="0"/>
      </font>
      <fill>
        <patternFill>
          <bgColor rgb="FF00B0F0"/>
        </patternFill>
      </fill>
    </dxf>
    <dxf>
      <font>
        <color theme="0"/>
      </font>
      <fill>
        <patternFill>
          <bgColor rgb="FFFF0000"/>
        </patternFill>
      </fill>
    </dxf>
    <dxf>
      <font>
        <color rgb="FFFFC000"/>
      </font>
    </dxf>
    <dxf>
      <font>
        <color rgb="FF9C0006"/>
      </font>
      <fill>
        <patternFill>
          <bgColor rgb="FFFFC7CE"/>
        </patternFill>
      </fill>
    </dxf>
    <dxf>
      <font>
        <color theme="0"/>
      </font>
      <fill>
        <patternFill>
          <bgColor rgb="FF00B0F0"/>
        </patternFill>
      </fill>
    </dxf>
    <dxf>
      <font>
        <color theme="0"/>
      </font>
      <fill>
        <patternFill>
          <bgColor rgb="FFFF0000"/>
        </patternFill>
      </fill>
    </dxf>
    <dxf>
      <font>
        <color rgb="FFFFC000"/>
      </font>
    </dxf>
    <dxf>
      <font>
        <color theme="0"/>
      </font>
      <fill>
        <patternFill>
          <bgColor rgb="FFFF0000"/>
        </patternFill>
      </fill>
    </dxf>
    <dxf>
      <font>
        <color theme="0"/>
      </font>
      <fill>
        <patternFill>
          <bgColor rgb="FF00B0F0"/>
        </patternFill>
      </fill>
    </dxf>
    <dxf>
      <font>
        <color rgb="FFFFC000"/>
      </font>
    </dxf>
    <dxf>
      <font>
        <color theme="0"/>
      </font>
      <fill>
        <patternFill>
          <bgColor rgb="FFFF0000"/>
        </patternFill>
      </fill>
    </dxf>
    <dxf>
      <font>
        <color theme="0"/>
      </font>
      <fill>
        <patternFill>
          <bgColor rgb="FF00B0F0"/>
        </patternFill>
      </fill>
    </dxf>
    <dxf>
      <font>
        <color rgb="FFFFC000"/>
      </font>
    </dxf>
    <dxf>
      <font>
        <color rgb="FFFFC000"/>
      </font>
    </dxf>
    <dxf>
      <font>
        <color theme="0"/>
      </font>
      <fill>
        <patternFill>
          <bgColor rgb="FFFF0000"/>
        </patternFill>
      </fill>
    </dxf>
    <dxf>
      <font>
        <color theme="0"/>
      </font>
    </dxf>
    <dxf>
      <font>
        <color theme="0"/>
      </font>
      <fill>
        <patternFill>
          <bgColor rgb="FF00B0F0"/>
        </patternFill>
      </fill>
    </dxf>
    <dxf>
      <font>
        <color theme="0"/>
      </font>
      <fill>
        <patternFill>
          <bgColor rgb="FFFF0000"/>
        </patternFill>
      </fill>
    </dxf>
    <dxf>
      <font>
        <color theme="0"/>
      </font>
    </dxf>
    <dxf>
      <font>
        <color theme="0"/>
      </font>
      <fill>
        <patternFill>
          <bgColor rgb="FF00B0F0"/>
        </patternFill>
      </fill>
    </dxf>
    <dxf>
      <font>
        <color theme="0"/>
      </font>
      <fill>
        <patternFill>
          <bgColor rgb="FFFF0000"/>
        </patternFill>
      </fill>
    </dxf>
    <dxf>
      <font>
        <color rgb="FFFFC000"/>
      </font>
    </dxf>
    <dxf>
      <font>
        <color theme="0"/>
      </font>
      <fill>
        <patternFill>
          <bgColor rgb="FF00B0F0"/>
        </patternFill>
      </fill>
    </dxf>
    <dxf>
      <font>
        <color theme="0"/>
      </font>
    </dxf>
    <dxf>
      <font>
        <color theme="0"/>
      </font>
    </dxf>
    <dxf>
      <font>
        <color theme="0"/>
      </font>
      <fill>
        <patternFill>
          <bgColor rgb="FFFF0000"/>
        </patternFill>
      </fill>
    </dxf>
    <dxf>
      <font>
        <color theme="0"/>
      </font>
      <fill>
        <patternFill>
          <bgColor rgb="FF00B0F0"/>
        </patternFill>
      </fill>
    </dxf>
    <dxf>
      <font>
        <color theme="0"/>
      </font>
      <fill>
        <patternFill>
          <bgColor rgb="FFFF0000"/>
        </patternFill>
      </fill>
    </dxf>
    <dxf>
      <font>
        <color theme="0"/>
      </font>
      <fill>
        <patternFill>
          <bgColor rgb="FF00B0F0"/>
        </patternFill>
      </fill>
    </dxf>
    <dxf>
      <font>
        <color theme="0"/>
      </font>
    </dxf>
    <dxf>
      <font>
        <color theme="0"/>
      </font>
      <fill>
        <patternFill>
          <bgColor rgb="FFFF0000"/>
        </patternFill>
      </fill>
    </dxf>
    <dxf>
      <font>
        <color theme="0"/>
      </font>
      <fill>
        <patternFill>
          <bgColor rgb="FF00B0F0"/>
        </patternFill>
      </fill>
    </dxf>
    <dxf>
      <font>
        <color theme="0"/>
      </font>
    </dxf>
    <dxf>
      <font>
        <color theme="3" tint="0.79998168889431442"/>
      </font>
    </dxf>
    <dxf>
      <font>
        <color theme="3" tint="0.79998168889431442"/>
      </font>
    </dxf>
    <dxf>
      <font>
        <color rgb="FFFF0000"/>
      </font>
      <fill>
        <patternFill>
          <bgColor theme="3" tint="0.79998168889431442"/>
        </patternFill>
      </fill>
    </dxf>
    <dxf>
      <font>
        <color theme="3" tint="0.79998168889431442"/>
      </font>
    </dxf>
    <dxf>
      <font>
        <color rgb="FFFF0000"/>
      </font>
      <fill>
        <patternFill>
          <bgColor theme="3" tint="0.79998168889431442"/>
        </patternFill>
      </fill>
    </dxf>
    <dxf>
      <font>
        <color rgb="FFFF0000"/>
      </font>
      <fill>
        <patternFill>
          <bgColor theme="3" tint="0.79998168889431442"/>
        </patternFill>
      </fill>
    </dxf>
    <dxf>
      <font>
        <color theme="0"/>
      </font>
      <fill>
        <patternFill>
          <bgColor rgb="FF00B0F0"/>
        </patternFill>
      </fill>
    </dxf>
    <dxf>
      <font>
        <color theme="0"/>
      </font>
      <fill>
        <patternFill>
          <bgColor rgb="FFFF0000"/>
        </patternFill>
      </fill>
    </dxf>
    <dxf>
      <font>
        <color rgb="FFFFC000"/>
      </font>
    </dxf>
    <dxf>
      <font>
        <color rgb="FFFFC000"/>
      </font>
    </dxf>
    <dxf>
      <font>
        <color theme="0"/>
      </font>
      <fill>
        <patternFill>
          <bgColor rgb="FF00B0F0"/>
        </patternFill>
      </fill>
    </dxf>
    <dxf>
      <font>
        <color theme="0"/>
      </font>
      <fill>
        <patternFill>
          <bgColor rgb="FFFF0000"/>
        </patternFill>
      </fill>
    </dxf>
    <dxf>
      <font>
        <color rgb="FFFFC000"/>
      </font>
    </dxf>
    <dxf>
      <font>
        <color rgb="FFFFC000"/>
      </font>
    </dxf>
    <dxf>
      <font>
        <color theme="0"/>
      </font>
      <fill>
        <patternFill>
          <bgColor rgb="FFFF0000"/>
        </patternFill>
      </fill>
    </dxf>
    <dxf>
      <font>
        <color theme="0"/>
      </font>
      <fill>
        <patternFill>
          <bgColor rgb="FF00B0F0"/>
        </patternFill>
      </fill>
    </dxf>
    <dxf>
      <font>
        <color rgb="FFFFC000"/>
      </font>
    </dxf>
    <dxf>
      <font>
        <color theme="0"/>
      </font>
      <fill>
        <patternFill>
          <bgColor rgb="FFFF0000"/>
        </patternFill>
      </fill>
    </dxf>
    <dxf>
      <font>
        <color theme="0"/>
      </font>
      <fill>
        <patternFill>
          <bgColor rgb="FF00B0F0"/>
        </patternFill>
      </fill>
    </dxf>
    <dxf>
      <font>
        <color rgb="FFFFC000"/>
      </font>
    </dxf>
    <dxf>
      <font>
        <color theme="0"/>
      </font>
      <fill>
        <patternFill>
          <bgColor rgb="FF00B0F0"/>
        </patternFill>
      </fill>
    </dxf>
    <dxf>
      <font>
        <color theme="0"/>
      </font>
      <fill>
        <patternFill>
          <bgColor rgb="FFFF0000"/>
        </patternFill>
      </fill>
    </dxf>
    <dxf>
      <font>
        <color rgb="FFFFC000"/>
      </font>
    </dxf>
    <dxf>
      <font>
        <color rgb="FFFFC000"/>
      </font>
    </dxf>
    <dxf>
      <font>
        <color theme="0"/>
      </font>
      <fill>
        <patternFill>
          <bgColor rgb="FFFF0000"/>
        </patternFill>
      </fill>
    </dxf>
    <dxf>
      <font>
        <color theme="0"/>
      </font>
      <fill>
        <patternFill>
          <bgColor rgb="FF00B0F0"/>
        </patternFill>
      </fill>
    </dxf>
    <dxf>
      <font>
        <color rgb="FFFFC000"/>
      </font>
    </dxf>
    <dxf>
      <font>
        <color rgb="FFFFC000"/>
      </font>
    </dxf>
    <dxf>
      <font>
        <color theme="9" tint="0.79998168889431442"/>
      </font>
    </dxf>
    <dxf>
      <font>
        <color theme="9" tint="0.59996337778862885"/>
      </font>
    </dxf>
    <dxf>
      <font>
        <color theme="9" tint="0.79998168889431442"/>
      </font>
    </dxf>
    <dxf>
      <font>
        <color theme="9" tint="0.79998168889431442"/>
      </font>
    </dxf>
    <dxf>
      <font>
        <color theme="9" tint="0.79998168889431442"/>
      </font>
    </dxf>
    <dxf>
      <font>
        <color theme="9" tint="0.79998168889431442"/>
      </font>
    </dxf>
    <dxf>
      <font>
        <color theme="9" tint="0.59996337778862885"/>
      </font>
    </dxf>
    <dxf>
      <font>
        <color theme="3" tint="0.79998168889431442"/>
      </font>
    </dxf>
    <dxf>
      <font>
        <color theme="3" tint="0.79998168889431442"/>
      </font>
    </dxf>
    <dxf>
      <font>
        <color theme="3" tint="0.79998168889431442"/>
      </font>
    </dxf>
    <dxf>
      <font>
        <color theme="0"/>
      </font>
    </dxf>
    <dxf>
      <font>
        <color theme="0"/>
      </font>
    </dxf>
    <dxf>
      <font>
        <color theme="9" tint="0.79998168889431442"/>
      </font>
    </dxf>
    <dxf>
      <font>
        <color theme="9" tint="0.79998168889431442"/>
      </font>
    </dxf>
    <dxf>
      <font>
        <color theme="0"/>
      </font>
    </dxf>
    <dxf>
      <font>
        <color theme="2"/>
      </font>
    </dxf>
    <dxf>
      <font>
        <color theme="0"/>
      </font>
    </dxf>
    <dxf>
      <font>
        <color theme="2"/>
      </font>
    </dxf>
    <dxf>
      <font>
        <color theme="2"/>
      </font>
    </dxf>
    <dxf>
      <font>
        <color theme="0"/>
      </font>
    </dxf>
    <dxf>
      <font>
        <color theme="0"/>
      </font>
    </dxf>
    <dxf>
      <font>
        <color theme="3" tint="0.79998168889431442"/>
      </font>
    </dxf>
    <dxf>
      <font>
        <color theme="0"/>
      </font>
    </dxf>
    <dxf>
      <font>
        <color theme="2" tint="-9.9948118533890809E-2"/>
      </font>
    </dxf>
    <dxf>
      <font>
        <color theme="0"/>
      </font>
    </dxf>
    <dxf>
      <font>
        <color theme="0"/>
      </font>
    </dxf>
    <dxf>
      <font>
        <color theme="0"/>
      </font>
    </dxf>
    <dxf>
      <font>
        <color theme="0"/>
      </font>
    </dxf>
    <dxf>
      <font>
        <color theme="0"/>
      </font>
    </dxf>
    <dxf>
      <font>
        <color theme="0"/>
      </font>
    </dxf>
    <dxf>
      <font>
        <color theme="0"/>
      </font>
    </dxf>
    <dxf>
      <font>
        <color theme="9" tint="0.79998168889431442"/>
      </font>
    </dxf>
    <dxf>
      <font>
        <color theme="0"/>
      </font>
    </dxf>
    <dxf>
      <font>
        <color theme="0"/>
      </font>
    </dxf>
    <dxf>
      <font>
        <color theme="0"/>
      </font>
    </dxf>
    <dxf>
      <font>
        <color theme="0"/>
      </font>
    </dxf>
    <dxf>
      <font>
        <color theme="0" tint="-4.9989318521683403E-2"/>
      </font>
    </dxf>
    <dxf>
      <font>
        <color theme="0" tint="-4.9989318521683403E-2"/>
      </font>
    </dxf>
    <dxf>
      <fill>
        <patternFill>
          <bgColor theme="5" tint="0.39994506668294322"/>
        </patternFill>
      </fill>
    </dxf>
    <dxf>
      <fill>
        <patternFill>
          <bgColor theme="6" tint="0.79998168889431442"/>
        </patternFill>
      </fill>
    </dxf>
    <dxf>
      <font>
        <color theme="6" tint="0.79998168889431442"/>
      </font>
    </dxf>
    <dxf>
      <font>
        <color theme="0"/>
      </font>
    </dxf>
    <dxf>
      <font>
        <color theme="0"/>
      </font>
    </dxf>
    <dxf>
      <font>
        <color theme="0"/>
      </font>
    </dxf>
    <dxf>
      <font>
        <color theme="0"/>
      </font>
    </dxf>
    <dxf>
      <font>
        <color theme="9" tint="0.79998168889431442"/>
      </font>
    </dxf>
    <dxf>
      <font>
        <color theme="0"/>
      </font>
    </dxf>
    <dxf>
      <font>
        <color theme="0"/>
      </font>
    </dxf>
    <dxf>
      <font>
        <color theme="9" tint="0.7999816888943144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font>
    </dxf>
    <dxf>
      <font>
        <color theme="0"/>
      </font>
    </dxf>
    <dxf>
      <font>
        <color theme="0"/>
      </font>
      <fill>
        <patternFill>
          <bgColor rgb="FFFF0000"/>
        </patternFill>
      </fill>
    </dxf>
    <dxf>
      <font>
        <color theme="0"/>
      </font>
      <fill>
        <patternFill>
          <bgColor rgb="FF92D050"/>
        </patternFill>
      </fill>
    </dxf>
    <dxf>
      <font>
        <color theme="0"/>
      </font>
    </dxf>
    <dxf>
      <font>
        <color theme="0"/>
      </font>
    </dxf>
    <dxf>
      <font>
        <color theme="9"/>
      </font>
    </dxf>
    <dxf>
      <font>
        <color theme="9"/>
      </font>
    </dxf>
    <dxf>
      <font>
        <color theme="0"/>
      </font>
    </dxf>
    <dxf>
      <font>
        <color theme="6" tint="0.79998168889431442"/>
      </font>
    </dxf>
    <dxf>
      <font>
        <color theme="9" tint="0.79998168889431442"/>
      </font>
    </dxf>
    <dxf>
      <font>
        <color theme="9" tint="0.79998168889431442"/>
      </font>
    </dxf>
    <dxf>
      <font>
        <color theme="2" tint="-9.9948118533890809E-2"/>
      </font>
    </dxf>
    <dxf>
      <font>
        <color theme="6" tint="0.79998168889431442"/>
      </font>
    </dxf>
    <dxf>
      <font>
        <color theme="0"/>
      </font>
    </dxf>
    <dxf>
      <font>
        <color theme="0"/>
      </font>
    </dxf>
    <dxf>
      <font>
        <color theme="0"/>
      </font>
    </dxf>
    <dxf>
      <font>
        <color theme="0"/>
      </font>
    </dxf>
    <dxf>
      <font>
        <color theme="0" tint="-4.9989318521683403E-2"/>
      </font>
    </dxf>
    <dxf>
      <font>
        <color theme="0" tint="-4.9989318521683403E-2"/>
      </font>
    </dxf>
    <dxf>
      <font>
        <color theme="0"/>
      </font>
    </dxf>
    <dxf>
      <font>
        <color theme="0"/>
      </font>
    </dxf>
    <dxf>
      <font>
        <color theme="0"/>
      </font>
    </dxf>
    <dxf>
      <font>
        <color theme="0"/>
      </font>
    </dxf>
    <dxf>
      <font>
        <color theme="2"/>
      </font>
    </dxf>
    <dxf>
      <font>
        <color theme="2" tint="-9.9948118533890809E-2"/>
      </font>
    </dxf>
    <dxf>
      <font>
        <color theme="6" tint="0.79998168889431442"/>
      </font>
    </dxf>
    <dxf>
      <font>
        <color theme="2"/>
      </font>
    </dxf>
    <dxf>
      <font>
        <color theme="6" tint="0.79998168889431442"/>
      </font>
    </dxf>
    <dxf>
      <font>
        <color theme="0" tint="-0.24994659260841701"/>
      </font>
    </dxf>
    <dxf>
      <font>
        <color theme="0"/>
      </font>
    </dxf>
    <dxf>
      <font>
        <color theme="6" tint="0.79998168889431442"/>
      </font>
    </dxf>
    <dxf>
      <font>
        <color theme="2" tint="-9.9948118533890809E-2"/>
      </font>
    </dxf>
    <dxf>
      <font>
        <color theme="2" tint="-9.9948118533890809E-2"/>
      </font>
    </dxf>
    <dxf>
      <font>
        <color theme="2"/>
      </font>
    </dxf>
    <dxf>
      <font>
        <color theme="6" tint="0.79998168889431442"/>
      </font>
    </dxf>
    <dxf>
      <font>
        <color theme="2"/>
      </font>
    </dxf>
    <dxf>
      <font>
        <color theme="6" tint="0.79998168889431442"/>
      </font>
    </dxf>
    <dxf>
      <font>
        <color theme="2" tint="-9.9948118533890809E-2"/>
      </font>
    </dxf>
    <dxf>
      <font>
        <color theme="6" tint="0.79998168889431442"/>
      </font>
    </dxf>
    <dxf>
      <font>
        <color theme="0"/>
      </font>
    </dxf>
    <dxf>
      <font>
        <color theme="6" tint="0.79998168889431442"/>
      </font>
    </dxf>
    <dxf>
      <font>
        <color them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2"/>
      </font>
    </dxf>
    <dxf>
      <font>
        <color theme="2" tint="-9.9948118533890809E-2"/>
      </font>
    </dxf>
    <dxf>
      <font>
        <color theme="2" tint="-9.9948118533890809E-2"/>
      </font>
    </dxf>
    <dxf>
      <font>
        <color theme="2"/>
      </font>
    </dxf>
    <dxf>
      <font>
        <color theme="2" tint="-9.9948118533890809E-2"/>
      </font>
    </dxf>
    <dxf>
      <font>
        <color theme="2"/>
      </font>
    </dxf>
    <dxf>
      <font>
        <color theme="2" tint="-9.9948118533890809E-2"/>
      </font>
    </dxf>
    <dxf>
      <font>
        <color theme="2"/>
      </font>
    </dxf>
    <dxf>
      <font>
        <color theme="2" tint="-9.9948118533890809E-2"/>
      </font>
    </dxf>
    <dxf>
      <font>
        <color theme="2"/>
      </font>
    </dxf>
    <dxf>
      <font>
        <color theme="2" tint="-9.9948118533890809E-2"/>
      </font>
    </dxf>
    <dxf>
      <font>
        <color theme="2"/>
      </font>
    </dxf>
    <dxf>
      <font>
        <color theme="2" tint="-9.9948118533890809E-2"/>
      </font>
    </dxf>
    <dxf>
      <font>
        <color theme="2"/>
      </font>
    </dxf>
    <dxf>
      <font>
        <color rgb="FFFFC00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 DEPREM RİSK '!$M$12</c:f>
              <c:strCache>
                <c:ptCount val="1"/>
                <c:pt idx="0">
                  <c:v>Deprem Sayısı</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c:spPr>
          <c:invertIfNegative val="0"/>
          <c:cat>
            <c:numRef>
              <c:f>' DEPREM RİSK '!$L$13:$L$136</c:f>
              <c:numCache>
                <c:formatCode>General</c:formatCode>
                <c:ptCount val="12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pt idx="121">
                  <c:v>2021</c:v>
                </c:pt>
                <c:pt idx="122">
                  <c:v>2022</c:v>
                </c:pt>
                <c:pt idx="123">
                  <c:v>2023</c:v>
                </c:pt>
              </c:numCache>
            </c:numRef>
          </c:cat>
          <c:val>
            <c:numRef>
              <c:f>' DEPREM RİSK '!$M$13:$M$136</c:f>
              <c:numCache>
                <c:formatCode>General</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Cache>
            </c:numRef>
          </c:val>
          <c:extLst>
            <c:ext xmlns:c16="http://schemas.microsoft.com/office/drawing/2014/chart" uri="{C3380CC4-5D6E-409C-BE32-E72D297353CC}">
              <c16:uniqueId val="{00000000-C037-495F-956D-6188091091BC}"/>
            </c:ext>
          </c:extLst>
        </c:ser>
        <c:dLbls>
          <c:showLegendKey val="0"/>
          <c:showVal val="0"/>
          <c:showCatName val="0"/>
          <c:showSerName val="0"/>
          <c:showPercent val="0"/>
          <c:showBubbleSize val="0"/>
        </c:dLbls>
        <c:gapWidth val="150"/>
        <c:shape val="box"/>
        <c:axId val="569329752"/>
        <c:axId val="569328768"/>
        <c:axId val="0"/>
      </c:bar3DChart>
      <c:catAx>
        <c:axId val="5693297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69328768"/>
        <c:crosses val="autoZero"/>
        <c:auto val="1"/>
        <c:lblAlgn val="ctr"/>
        <c:lblOffset val="100"/>
        <c:noMultiLvlLbl val="0"/>
      </c:catAx>
      <c:valAx>
        <c:axId val="569328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69329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Drop" dropLines="4" dropStyle="combo" dx="16" fmlaLink="$H$220:$I$220" fmlaRange="$B$210:$B$213" noThreeD="1" sel="4" val="0"/>
</file>

<file path=xl/ctrlProps/ctrlProp2.xml><?xml version="1.0" encoding="utf-8"?>
<formControlPr xmlns="http://schemas.microsoft.com/office/spreadsheetml/2009/9/main" objectType="Drop" dropLines="3" dropStyle="combo" dx="16" fmlaLink="$C$9" fmlaRange="$B$210:$B$212" noThreeD="1" sel="0" val="0"/>
</file>

<file path=xl/ctrlProps/ctrlProp3.xml><?xml version="1.0" encoding="utf-8"?>
<formControlPr xmlns="http://schemas.microsoft.com/office/spreadsheetml/2009/9/main" objectType="Drop" dropLines="4" dropStyle="combo" dx="16" fmlaLink="$H$220" fmlaRange="$B$210:$B$213" noThreeD="1" sel="4" val="0"/>
</file>

<file path=xl/ctrlProps/ctrlProp4.xml><?xml version="1.0" encoding="utf-8"?>
<formControlPr xmlns="http://schemas.microsoft.com/office/spreadsheetml/2009/9/main" objectType="Drop" dropLines="3" dropStyle="combo" dx="16" fmlaLink="$I$206" fmlaRange="$D$210:$D$212" noThreeD="1" sel="3" val="0"/>
</file>

<file path=xl/ctrlProps/ctrlProp5.xml><?xml version="1.0" encoding="utf-8"?>
<formControlPr xmlns="http://schemas.microsoft.com/office/spreadsheetml/2009/9/main" objectType="Drop" dropLines="3" dropStyle="combo" dx="16" fmlaLink="$I$206" fmlaRange="$D$210:$D$212" noThreeD="1" sel="3" val="0"/>
</file>

<file path=xl/ctrlProps/ctrlProp6.xml><?xml version="1.0" encoding="utf-8"?>
<formControlPr xmlns="http://schemas.microsoft.com/office/spreadsheetml/2009/9/main" objectType="Drop" dropLines="3" dropStyle="combo" dx="16" fmlaLink="$C$9" fmlaRange="$B$210:$B$212" noThreeD="1" sel="0" val="0"/>
</file>

<file path=xl/ctrlProps/ctrlProp7.xml><?xml version="1.0" encoding="utf-8"?>
<formControlPr xmlns="http://schemas.microsoft.com/office/spreadsheetml/2009/9/main" objectType="Drop" dropLines="4" dropStyle="combo" dx="16" fmlaLink="$H$220" fmlaRange="$B$210:$B$213" noThreeD="1" sel="4" val="0"/>
</file>

<file path=xl/ctrlProps/ctrlProp8.xml><?xml version="1.0" encoding="utf-8"?>
<formControlPr xmlns="http://schemas.microsoft.com/office/spreadsheetml/2009/9/main" objectType="Drop" dropLines="3" dropStyle="combo" dx="16" fmlaLink="$I$206" fmlaRange="$D$210:$D$212" noThreeD="1" sel="3" val="0"/>
</file>

<file path=xl/ctrlProps/ctrlProp9.xml><?xml version="1.0" encoding="utf-8"?>
<formControlPr xmlns="http://schemas.microsoft.com/office/spreadsheetml/2009/9/main" objectType="Drop" dropLines="4" dropStyle="combo" dx="16" fmlaLink="$H$220:$I$220" fmlaRange="$B$210:$B$213" noThreeD="1" sel="4" val="0"/>
</file>

<file path=xl/ctrlProps/ctrlProp10.xml><?xml version="1.0" encoding="utf-8"?>
<formControlPr xmlns="http://schemas.microsoft.com/office/spreadsheetml/2009/9/main" objectType="Drop" dropLines="3" dropStyle="combo" dx="16" fmlaLink="$C$9" fmlaRange="$B$210:$B$212" noThreeD="1" sel="0" val="0"/>
</file>

<file path=xl/ctrlProps/ctrlProp11.xml><?xml version="1.0" encoding="utf-8"?>
<formControlPr xmlns="http://schemas.microsoft.com/office/spreadsheetml/2009/9/main" objectType="Drop" dropLines="4" dropStyle="combo" dx="16" fmlaLink="$H$220" fmlaRange="$B$210:$B$213" noThreeD="1" sel="4" val="0"/>
</file>

<file path=xl/ctrlProps/ctrlProp12.xml><?xml version="1.0" encoding="utf-8"?>
<formControlPr xmlns="http://schemas.microsoft.com/office/spreadsheetml/2009/9/main" objectType="Drop" dropLines="3" dropStyle="combo" dx="16" fmlaLink="$I$206" fmlaRange="$D$210:$D$212" noThreeD="1" sel="3" val="0"/>
</file>

<file path=xl/ctrlProps/ctrlProp13.xml><?xml version="1.0" encoding="utf-8"?>
<formControlPr xmlns="http://schemas.microsoft.com/office/spreadsheetml/2009/9/main" objectType="Drop" dropLines="3" dropStyle="combo" dx="16" fmlaLink="$I$206" fmlaRange="$D$210:$D$212" noThreeD="1" sel="3" val="0"/>
</file>

<file path=xl/ctrlProps/ctrlProp14.xml><?xml version="1.0" encoding="utf-8"?>
<formControlPr xmlns="http://schemas.microsoft.com/office/spreadsheetml/2009/9/main" objectType="Drop" dropLines="4" dropStyle="combo" dx="16" fmlaLink="$H$220:$I$220" fmlaRange="$B$210:$B$213" noThreeD="1" sel="4" val="0"/>
</file>

<file path=xl/ctrlProps/ctrlProp15.xml><?xml version="1.0" encoding="utf-8"?>
<formControlPr xmlns="http://schemas.microsoft.com/office/spreadsheetml/2009/9/main" objectType="Drop" dropLines="3" dropStyle="combo" dx="16" fmlaLink="$C$9" fmlaRange="$B$210:$B$212" noThreeD="1" sel="0" val="0"/>
</file>

<file path=xl/ctrlProps/ctrlProp16.xml><?xml version="1.0" encoding="utf-8"?>
<formControlPr xmlns="http://schemas.microsoft.com/office/spreadsheetml/2009/9/main" objectType="Drop" dropLines="4" dropStyle="combo" dx="16" fmlaLink="$H$220" fmlaRange="$B$210:$B$213" noThreeD="1" sel="4" val="0"/>
</file>

<file path=xl/ctrlProps/ctrlProp17.xml><?xml version="1.0" encoding="utf-8"?>
<formControlPr xmlns="http://schemas.microsoft.com/office/spreadsheetml/2009/9/main" objectType="Drop" dropLines="3" dropStyle="combo" dx="16" fmlaLink="$I$206" fmlaRange="$D$210:$D$212" noThreeD="1" sel="3" val="0"/>
</file>

<file path=xl/ctrlProps/ctrlProp18.xml><?xml version="1.0" encoding="utf-8"?>
<formControlPr xmlns="http://schemas.microsoft.com/office/spreadsheetml/2009/9/main" objectType="Drop" dropLines="3" dropStyle="combo" dx="16" fmlaLink="$I$206" fmlaRange="$D$210:$D$212" noThreeD="1" sel="3" val="0"/>
</file>

<file path=xl/ctrlProps/ctrlProp19.xml><?xml version="1.0" encoding="utf-8"?>
<formControlPr xmlns="http://schemas.microsoft.com/office/spreadsheetml/2009/9/main" objectType="Drop" dropLines="4" dropStyle="combo" dx="16" fmlaLink="$H$220:$I$220" fmlaRange="$B$210:$B$213" noThreeD="1" sel="4" val="0"/>
</file>

<file path=xl/ctrlProps/ctrlProp20.xml><?xml version="1.0" encoding="utf-8"?>
<formControlPr xmlns="http://schemas.microsoft.com/office/spreadsheetml/2009/9/main" objectType="Drop" dropLines="3" dropStyle="combo" dx="16" fmlaLink="$C$9" fmlaRange="$B$210:$B$212" noThreeD="1" sel="0" val="0"/>
</file>

<file path=xl/ctrlProps/ctrlProp21.xml><?xml version="1.0" encoding="utf-8"?>
<formControlPr xmlns="http://schemas.microsoft.com/office/spreadsheetml/2009/9/main" objectType="Drop" dropLines="4" dropStyle="combo" dx="16" fmlaLink="$H$220" fmlaRange="$B$210:$B$213" noThreeD="1" sel="4" val="0"/>
</file>

<file path=xl/ctrlProps/ctrlProp22.xml><?xml version="1.0" encoding="utf-8"?>
<formControlPr xmlns="http://schemas.microsoft.com/office/spreadsheetml/2009/9/main" objectType="Drop" dropLines="3" dropStyle="combo" dx="16" fmlaLink="$I$206" fmlaRange="$D$210:$D$212" noThreeD="1" sel="3" val="0"/>
</file>

<file path=xl/ctrlProps/ctrlProp23.xml><?xml version="1.0" encoding="utf-8"?>
<formControlPr xmlns="http://schemas.microsoft.com/office/spreadsheetml/2009/9/main" objectType="Drop" dropLines="3" dropStyle="combo" dx="16" fmlaLink="$I$206" fmlaRange="$D$210:$D$212" noThreeD="1" sel="3" val="0"/>
</file>

<file path=xl/ctrlProps/ctrlProp24.xml><?xml version="1.0" encoding="utf-8"?>
<formControlPr xmlns="http://schemas.microsoft.com/office/spreadsheetml/2009/9/main" objectType="Drop" dropLines="4" dropStyle="combo" dx="16" fmlaLink="$H$220:$I$220" fmlaRange="$B$210:$B$213" noThreeD="1" sel="4" val="0"/>
</file>

<file path=xl/ctrlProps/ctrlProp25.xml><?xml version="1.0" encoding="utf-8"?>
<formControlPr xmlns="http://schemas.microsoft.com/office/spreadsheetml/2009/9/main" objectType="Drop" dropLines="3" dropStyle="combo" dx="16" fmlaLink="$C$9" fmlaRange="$B$210:$B$212" noThreeD="1" sel="0" val="0"/>
</file>

<file path=xl/ctrlProps/ctrlProp26.xml><?xml version="1.0" encoding="utf-8"?>
<formControlPr xmlns="http://schemas.microsoft.com/office/spreadsheetml/2009/9/main" objectType="Drop" dropLines="4" dropStyle="combo" dx="16" fmlaLink="$H$220" fmlaRange="$B$210:$B$213" noThreeD="1" sel="4" val="0"/>
</file>

<file path=xl/ctrlProps/ctrlProp27.xml><?xml version="1.0" encoding="utf-8"?>
<formControlPr xmlns="http://schemas.microsoft.com/office/spreadsheetml/2009/9/main" objectType="Drop" dropLines="3" dropStyle="combo" dx="16" fmlaLink="$I$206" fmlaRange="$D$210:$D$212" noThreeD="1" sel="3" val="0"/>
</file>

<file path=xl/ctrlProps/ctrlProp28.xml><?xml version="1.0" encoding="utf-8"?>
<formControlPr xmlns="http://schemas.microsoft.com/office/spreadsheetml/2009/9/main" objectType="Drop" dropLines="3" dropStyle="combo" dx="16" fmlaLink="$I$206" fmlaRange="$D$210:$D$212" noThreeD="1" sel="3" val="0"/>
</file>

<file path=xl/ctrlProps/ctrlProp29.xml><?xml version="1.0" encoding="utf-8"?>
<formControlPr xmlns="http://schemas.microsoft.com/office/spreadsheetml/2009/9/main" objectType="Drop" dropLines="4" dropStyle="combo" dx="16" fmlaLink="$H$220:$I$220" fmlaRange="$B$210:$B$213" noThreeD="1" sel="4" val="0"/>
</file>

<file path=xl/ctrlProps/ctrlProp30.xml><?xml version="1.0" encoding="utf-8"?>
<formControlPr xmlns="http://schemas.microsoft.com/office/spreadsheetml/2009/9/main" objectType="Drop" dropLines="3" dropStyle="combo" dx="16" fmlaLink="$C$9" fmlaRange="$B$210:$B$212" noThreeD="1" sel="0" val="0"/>
</file>

<file path=xl/ctrlProps/ctrlProp31.xml><?xml version="1.0" encoding="utf-8"?>
<formControlPr xmlns="http://schemas.microsoft.com/office/spreadsheetml/2009/9/main" objectType="Drop" dropLines="4" dropStyle="combo" dx="16" fmlaLink="$H$220" fmlaRange="$B$210:$B$213" noThreeD="1" sel="4" val="0"/>
</file>

<file path=xl/ctrlProps/ctrlProp32.xml><?xml version="1.0" encoding="utf-8"?>
<formControlPr xmlns="http://schemas.microsoft.com/office/spreadsheetml/2009/9/main" objectType="Drop" dropLines="3" dropStyle="combo" dx="16" fmlaLink="$I$206" fmlaRange="$D$210:$D$212" noThreeD="1" sel="3" val="0"/>
</file>

<file path=xl/ctrlProps/ctrlProp33.xml><?xml version="1.0" encoding="utf-8"?>
<formControlPr xmlns="http://schemas.microsoft.com/office/spreadsheetml/2009/9/main" objectType="Drop" dropLines="3" dropStyle="combo" dx="16" fmlaLink="$I$206" fmlaRange="$D$210:$D$212" noThreeD="1" sel="3" val="0"/>
</file>

<file path=xl/ctrlProps/ctrlProp34.xml><?xml version="1.0" encoding="utf-8"?>
<formControlPr xmlns="http://schemas.microsoft.com/office/spreadsheetml/2009/9/main" objectType="Drop" dropLines="4" dropStyle="combo" dx="16" fmlaLink="$H$220:$I$220" fmlaRange="$B$210:$B$213" noThreeD="1" sel="4" val="0"/>
</file>

<file path=xl/ctrlProps/ctrlProp35.xml><?xml version="1.0" encoding="utf-8"?>
<formControlPr xmlns="http://schemas.microsoft.com/office/spreadsheetml/2009/9/main" objectType="Drop" dropLines="3" dropStyle="combo" dx="16" fmlaLink="$C$9" fmlaRange="$B$210:$B$212" noThreeD="1" sel="0" val="0"/>
</file>

<file path=xl/ctrlProps/ctrlProp36.xml><?xml version="1.0" encoding="utf-8"?>
<formControlPr xmlns="http://schemas.microsoft.com/office/spreadsheetml/2009/9/main" objectType="Drop" dropLines="4" dropStyle="combo" dx="16" fmlaLink="$H$220" fmlaRange="$B$210:$B$213" noThreeD="1" sel="4" val="0"/>
</file>

<file path=xl/ctrlProps/ctrlProp37.xml><?xml version="1.0" encoding="utf-8"?>
<formControlPr xmlns="http://schemas.microsoft.com/office/spreadsheetml/2009/9/main" objectType="Drop" dropLines="3" dropStyle="combo" dx="16" fmlaLink="$I$206" fmlaRange="$D$210:$D$212" noThreeD="1" sel="3" val="0"/>
</file>

<file path=xl/ctrlProps/ctrlProp38.xml><?xml version="1.0" encoding="utf-8"?>
<formControlPr xmlns="http://schemas.microsoft.com/office/spreadsheetml/2009/9/main" objectType="Drop" dropLines="3" dropStyle="combo" dx="16" fmlaLink="$I$206" fmlaRange="$D$210:$D$212" noThreeD="1" sel="3" val="0"/>
</file>

<file path=xl/ctrlProps/ctrlProp39.xml><?xml version="1.0" encoding="utf-8"?>
<formControlPr xmlns="http://schemas.microsoft.com/office/spreadsheetml/2009/9/main" objectType="Drop" dropLines="4" dropStyle="combo" dx="16" fmlaLink="$H$220:$I$220" fmlaRange="$B$210:$B$213" noThreeD="1" sel="4" val="0"/>
</file>

<file path=xl/ctrlProps/ctrlProp40.xml><?xml version="1.0" encoding="utf-8"?>
<formControlPr xmlns="http://schemas.microsoft.com/office/spreadsheetml/2009/9/main" objectType="Drop" dropLines="3" dropStyle="combo" dx="16" fmlaLink="$C$9" fmlaRange="$B$210:$B$212" noThreeD="1" sel="0" val="0"/>
</file>

<file path=xl/ctrlProps/ctrlProp41.xml><?xml version="1.0" encoding="utf-8"?>
<formControlPr xmlns="http://schemas.microsoft.com/office/spreadsheetml/2009/9/main" objectType="Drop" dropLines="4" dropStyle="combo" dx="16" fmlaLink="$H$220" fmlaRange="$B$210:$B$213" noThreeD="1" sel="4" val="0"/>
</file>

<file path=xl/ctrlProps/ctrlProp42.xml><?xml version="1.0" encoding="utf-8"?>
<formControlPr xmlns="http://schemas.microsoft.com/office/spreadsheetml/2009/9/main" objectType="Drop" dropLines="3" dropStyle="combo" dx="16" fmlaLink="$I$206" fmlaRange="$D$210:$D$212" noThreeD="1" sel="3" val="0"/>
</file>

<file path=xl/ctrlProps/ctrlProp43.xml><?xml version="1.0" encoding="utf-8"?>
<formControlPr xmlns="http://schemas.microsoft.com/office/spreadsheetml/2009/9/main" objectType="Drop" dropLines="3" dropStyle="combo" dx="16" fmlaLink="$I$206" fmlaRange="$D$210:$D$212" noThreeD="1" sel="3" val="0"/>
</file>

<file path=xl/ctrlProps/ctrlProp44.xml><?xml version="1.0" encoding="utf-8"?>
<formControlPr xmlns="http://schemas.microsoft.com/office/spreadsheetml/2009/9/main" objectType="Drop" dropLines="4" dropStyle="combo" dx="16" fmlaLink="$H$220:$I$220" fmlaRange="$B$210:$B$213" noThreeD="1" sel="4" val="0"/>
</file>

<file path=xl/ctrlProps/ctrlProp45.xml><?xml version="1.0" encoding="utf-8"?>
<formControlPr xmlns="http://schemas.microsoft.com/office/spreadsheetml/2009/9/main" objectType="Drop" dropLines="3" dropStyle="combo" dx="16" fmlaLink="$C$9" fmlaRange="$B$210:$B$212" noThreeD="1" sel="0" val="0"/>
</file>

<file path=xl/ctrlProps/ctrlProp46.xml><?xml version="1.0" encoding="utf-8"?>
<formControlPr xmlns="http://schemas.microsoft.com/office/spreadsheetml/2009/9/main" objectType="Drop" dropLines="4" dropStyle="combo" dx="16" fmlaLink="$H$220" fmlaRange="$B$210:$B$213" noThreeD="1" sel="4" val="0"/>
</file>

<file path=xl/ctrlProps/ctrlProp47.xml><?xml version="1.0" encoding="utf-8"?>
<formControlPr xmlns="http://schemas.microsoft.com/office/spreadsheetml/2009/9/main" objectType="Drop" dropLines="3" dropStyle="combo" dx="16" fmlaLink="$I$206" fmlaRange="$D$210:$D$212" noThreeD="1" sel="3" val="0"/>
</file>

<file path=xl/ctrlProps/ctrlProp48.xml><?xml version="1.0" encoding="utf-8"?>
<formControlPr xmlns="http://schemas.microsoft.com/office/spreadsheetml/2009/9/main" objectType="Drop" dropLines="3" dropStyle="combo" dx="16" fmlaLink="$I$206" fmlaRange="$D$210:$D$212" noThreeD="1" sel="3" val="0"/>
</file>

<file path=xl/ctrlProps/ctrlProp49.xml><?xml version="1.0" encoding="utf-8"?>
<formControlPr xmlns="http://schemas.microsoft.com/office/spreadsheetml/2009/9/main" objectType="Drop" dropLines="4" dropStyle="combo" dx="16" fmlaLink="$H$220:$I$220" fmlaRange="$B$210:$B$213" noThreeD="1" sel="4" val="0"/>
</file>

<file path=xl/ctrlProps/ctrlProp50.xml><?xml version="1.0" encoding="utf-8"?>
<formControlPr xmlns="http://schemas.microsoft.com/office/spreadsheetml/2009/9/main" objectType="Drop" dropLines="3" dropStyle="combo" dx="16" fmlaLink="$C$9" fmlaRange="$B$210:$B$212" noThreeD="1" sel="0" val="0"/>
</file>

<file path=xl/ctrlProps/ctrlProp51.xml><?xml version="1.0" encoding="utf-8"?>
<formControlPr xmlns="http://schemas.microsoft.com/office/spreadsheetml/2009/9/main" objectType="Drop" dropLines="4" dropStyle="combo" dx="16" fmlaLink="$H$220" fmlaRange="$B$210:$B$213" noThreeD="1" sel="4" val="0"/>
</file>

<file path=xl/ctrlProps/ctrlProp52.xml><?xml version="1.0" encoding="utf-8"?>
<formControlPr xmlns="http://schemas.microsoft.com/office/spreadsheetml/2009/9/main" objectType="Drop" dropLines="3" dropStyle="combo" dx="16" fmlaLink="$I$206" fmlaRange="$D$210:$D$212" noThreeD="1" sel="3" val="0"/>
</file>

<file path=xl/ctrlProps/ctrlProp53.xml><?xml version="1.0" encoding="utf-8"?>
<formControlPr xmlns="http://schemas.microsoft.com/office/spreadsheetml/2009/9/main" objectType="Drop" dropLines="3" dropStyle="combo" dx="16" fmlaLink="$I$206" fmlaRange="$D$210:$D$212" noThreeD="1" sel="3" val="0"/>
</file>

<file path=xl/ctrlProps/ctrlProp54.xml><?xml version="1.0" encoding="utf-8"?>
<formControlPr xmlns="http://schemas.microsoft.com/office/spreadsheetml/2009/9/main" objectType="Drop" dropLines="4" dropStyle="combo" dx="16" fmlaLink="$H$220:$I$220" fmlaRange="$B$210:$B$213" noThreeD="1" sel="4" val="0"/>
</file>

<file path=xl/ctrlProps/ctrlProp55.xml><?xml version="1.0" encoding="utf-8"?>
<formControlPr xmlns="http://schemas.microsoft.com/office/spreadsheetml/2009/9/main" objectType="Drop" dropLines="3" dropStyle="combo" dx="16" fmlaLink="$C$9" fmlaRange="$B$210:$B$212" noThreeD="1" sel="0" val="0"/>
</file>

<file path=xl/ctrlProps/ctrlProp56.xml><?xml version="1.0" encoding="utf-8"?>
<formControlPr xmlns="http://schemas.microsoft.com/office/spreadsheetml/2009/9/main" objectType="Drop" dropLines="4" dropStyle="combo" dx="16" fmlaLink="$H$220" fmlaRange="$B$210:$B$213" noThreeD="1" sel="4" val="0"/>
</file>

<file path=xl/ctrlProps/ctrlProp57.xml><?xml version="1.0" encoding="utf-8"?>
<formControlPr xmlns="http://schemas.microsoft.com/office/spreadsheetml/2009/9/main" objectType="Drop" dropLines="3" dropStyle="combo" dx="16" fmlaLink="$I$206" fmlaRange="$D$210:$D$212" noThreeD="1" sel="3" val="0"/>
</file>

<file path=xl/ctrlProps/ctrlProp58.xml><?xml version="1.0" encoding="utf-8"?>
<formControlPr xmlns="http://schemas.microsoft.com/office/spreadsheetml/2009/9/main" objectType="Drop" dropLines="3" dropStyle="combo" dx="16" fmlaLink="$I$206" fmlaRange="$D$210:$D$212" noThreeD="1" sel="3" val="0"/>
</file>

<file path=xl/ctrlProps/ctrlProp59.xml><?xml version="1.0" encoding="utf-8"?>
<formControlPr xmlns="http://schemas.microsoft.com/office/spreadsheetml/2009/9/main" objectType="Drop" dropLines="4" dropStyle="combo" dx="16" fmlaLink="$H$220:$I$220" fmlaRange="$B$210:$B$213" noThreeD="1" sel="4" val="0"/>
</file>

<file path=xl/ctrlProps/ctrlProp60.xml><?xml version="1.0" encoding="utf-8"?>
<formControlPr xmlns="http://schemas.microsoft.com/office/spreadsheetml/2009/9/main" objectType="Drop" dropLines="3" dropStyle="combo" dx="16" fmlaLink="$C$9" fmlaRange="$B$210:$B$212" noThreeD="1" sel="0" val="0"/>
</file>

<file path=xl/ctrlProps/ctrlProp61.xml><?xml version="1.0" encoding="utf-8"?>
<formControlPr xmlns="http://schemas.microsoft.com/office/spreadsheetml/2009/9/main" objectType="Drop" dropLines="4" dropStyle="combo" dx="16" fmlaLink="$H$220" fmlaRange="$B$210:$B$213" noThreeD="1" sel="4" val="0"/>
</file>

<file path=xl/ctrlProps/ctrlProp62.xml><?xml version="1.0" encoding="utf-8"?>
<formControlPr xmlns="http://schemas.microsoft.com/office/spreadsheetml/2009/9/main" objectType="Drop" dropLines="3" dropStyle="combo" dx="16" fmlaLink="$I$206" fmlaRange="$D$210:$D$212" noThreeD="1" sel="3" val="0"/>
</file>

<file path=xl/ctrlProps/ctrlProp63.xml><?xml version="1.0" encoding="utf-8"?>
<formControlPr xmlns="http://schemas.microsoft.com/office/spreadsheetml/2009/9/main" objectType="Drop" dropLines="3" dropStyle="combo" dx="16" fmlaLink="$I$206" fmlaRange="$D$210:$D$212" noThreeD="1" sel="3" val="0"/>
</file>

<file path=xl/ctrlProps/ctrlProp64.xml><?xml version="1.0" encoding="utf-8"?>
<formControlPr xmlns="http://schemas.microsoft.com/office/spreadsheetml/2009/9/main" objectType="Drop" dropLines="4" dropStyle="combo" dx="16" fmlaLink="$H$220:$I$220" fmlaRange="$B$210:$B$213" noThreeD="1" sel="4" val="0"/>
</file>

<file path=xl/ctrlProps/ctrlProp65.xml><?xml version="1.0" encoding="utf-8"?>
<formControlPr xmlns="http://schemas.microsoft.com/office/spreadsheetml/2009/9/main" objectType="Drop" dropLines="3" dropStyle="combo" dx="16" fmlaLink="$C$9" fmlaRange="$B$210:$B$212" noThreeD="1" sel="0" val="0"/>
</file>

<file path=xl/ctrlProps/ctrlProp66.xml><?xml version="1.0" encoding="utf-8"?>
<formControlPr xmlns="http://schemas.microsoft.com/office/spreadsheetml/2009/9/main" objectType="Drop" dropLines="4" dropStyle="combo" dx="16" fmlaLink="$H$220" fmlaRange="$B$210:$B$213" noThreeD="1" sel="4" val="0"/>
</file>

<file path=xl/ctrlProps/ctrlProp67.xml><?xml version="1.0" encoding="utf-8"?>
<formControlPr xmlns="http://schemas.microsoft.com/office/spreadsheetml/2009/9/main" objectType="Drop" dropLines="3" dropStyle="combo" dx="16" fmlaLink="$I$206" fmlaRange="$D$210:$D$212" noThreeD="1" sel="3" val="0"/>
</file>

<file path=xl/ctrlProps/ctrlProp68.xml><?xml version="1.0" encoding="utf-8"?>
<formControlPr xmlns="http://schemas.microsoft.com/office/spreadsheetml/2009/9/main" objectType="Drop" dropLines="3" dropStyle="combo" dx="16" fmlaLink="$I$206" fmlaRange="$D$210:$D$212" noThreeD="1" sel="3" val="0"/>
</file>

<file path=xl/ctrlProps/ctrlProp69.xml><?xml version="1.0" encoding="utf-8"?>
<formControlPr xmlns="http://schemas.microsoft.com/office/spreadsheetml/2009/9/main" objectType="Drop" dropLines="4" dropStyle="combo" dx="22" fmlaLink="$H$220:$I$220" fmlaRange="$B$210:$B$213" noThreeD="1" sel="4" val="0"/>
</file>

<file path=xl/ctrlProps/ctrlProp70.xml><?xml version="1.0" encoding="utf-8"?>
<formControlPr xmlns="http://schemas.microsoft.com/office/spreadsheetml/2009/9/main" objectType="Drop" dropLines="3" dropStyle="combo" dx="22" fmlaLink="$C$9" fmlaRange="$B$210:$B$212" noThreeD="1" sel="0" val="0"/>
</file>

<file path=xl/ctrlProps/ctrlProp71.xml><?xml version="1.0" encoding="utf-8"?>
<formControlPr xmlns="http://schemas.microsoft.com/office/spreadsheetml/2009/9/main" objectType="Drop" dropLines="4" dropStyle="combo" dx="22" fmlaLink="$H$220" fmlaRange="$B$210:$B$213" noThreeD="1" sel="4" val="0"/>
</file>

<file path=xl/ctrlProps/ctrlProp72.xml><?xml version="1.0" encoding="utf-8"?>
<formControlPr xmlns="http://schemas.microsoft.com/office/spreadsheetml/2009/9/main" objectType="Drop" dropLines="3" dropStyle="combo" dx="22" fmlaLink="$I$206" fmlaRange="$D$210:$D$212" noThreeD="1" sel="3" val="0"/>
</file>

<file path=xl/ctrlProps/ctrlProp73.xml><?xml version="1.0" encoding="utf-8"?>
<formControlPr xmlns="http://schemas.microsoft.com/office/spreadsheetml/2009/9/main" objectType="Drop" dropLines="3" dropStyle="combo" dx="22" fmlaLink="$I$206" fmlaRange="$D$210:$D$212" noThreeD="1" sel="3" val="0"/>
</file>

<file path=xl/ctrlProps/ctrlProp74.xml><?xml version="1.0" encoding="utf-8"?>
<formControlPr xmlns="http://schemas.microsoft.com/office/spreadsheetml/2009/9/main" objectType="Drop" dropLines="4" dropStyle="combo" dx="16" fmlaLink="$H$220:$I$220" fmlaRange="$B$210:$B$213" noThreeD="1" sel="4" val="0"/>
</file>

<file path=xl/ctrlProps/ctrlProp75.xml><?xml version="1.0" encoding="utf-8"?>
<formControlPr xmlns="http://schemas.microsoft.com/office/spreadsheetml/2009/9/main" objectType="Drop" dropLines="3" dropStyle="combo" dx="16" fmlaLink="$C$9" fmlaRange="$B$210:$B$212" noThreeD="1" sel="0" val="0"/>
</file>

<file path=xl/ctrlProps/ctrlProp76.xml><?xml version="1.0" encoding="utf-8"?>
<formControlPr xmlns="http://schemas.microsoft.com/office/spreadsheetml/2009/9/main" objectType="Drop" dropLines="4" dropStyle="combo" dx="16" fmlaLink="$H$220" fmlaRange="$B$210:$B$213" noThreeD="1" sel="4" val="0"/>
</file>

<file path=xl/ctrlProps/ctrlProp77.xml><?xml version="1.0" encoding="utf-8"?>
<formControlPr xmlns="http://schemas.microsoft.com/office/spreadsheetml/2009/9/main" objectType="Drop" dropLines="3" dropStyle="combo" dx="16" fmlaLink="$I$206" fmlaRange="$D$210:$D$212" noThreeD="1" sel="3" val="0"/>
</file>

<file path=xl/ctrlProps/ctrlProp78.xml><?xml version="1.0" encoding="utf-8"?>
<formControlPr xmlns="http://schemas.microsoft.com/office/spreadsheetml/2009/9/main" objectType="Drop" dropLines="3" dropStyle="combo" dx="16" fmlaLink="$I$206" fmlaRange="$D$210:$D$212" noThreeD="1" sel="3" val="0"/>
</file>

<file path=xl/ctrlProps/ctrlProp79.xml><?xml version="1.0" encoding="utf-8"?>
<formControlPr xmlns="http://schemas.microsoft.com/office/spreadsheetml/2009/9/main" objectType="Drop" dropLines="4" dropStyle="combo" dx="16" fmlaLink="$H$220:$I$220" fmlaRange="$B$210:$B$213" noThreeD="1" sel="4" val="0"/>
</file>

<file path=xl/ctrlProps/ctrlProp80.xml><?xml version="1.0" encoding="utf-8"?>
<formControlPr xmlns="http://schemas.microsoft.com/office/spreadsheetml/2009/9/main" objectType="Drop" dropLines="3" dropStyle="combo" dx="16" fmlaLink="$C$9" fmlaRange="$B$210:$B$212" noThreeD="1" sel="0" val="0"/>
</file>

<file path=xl/ctrlProps/ctrlProp81.xml><?xml version="1.0" encoding="utf-8"?>
<formControlPr xmlns="http://schemas.microsoft.com/office/spreadsheetml/2009/9/main" objectType="Drop" dropLines="4" dropStyle="combo" dx="16" fmlaLink="$H$220" fmlaRange="$B$210:$B$213" noThreeD="1" sel="4" val="0"/>
</file>

<file path=xl/ctrlProps/ctrlProp82.xml><?xml version="1.0" encoding="utf-8"?>
<formControlPr xmlns="http://schemas.microsoft.com/office/spreadsheetml/2009/9/main" objectType="Drop" dropLines="3" dropStyle="combo" dx="16" fmlaLink="$I$206" fmlaRange="$D$210:$D$212" noThreeD="1" sel="3" val="0"/>
</file>

<file path=xl/ctrlProps/ctrlProp83.xml><?xml version="1.0" encoding="utf-8"?>
<formControlPr xmlns="http://schemas.microsoft.com/office/spreadsheetml/2009/9/main" objectType="Drop" dropLines="3" dropStyle="combo" dx="16" fmlaLink="$I$206" fmlaRange="$D$210:$D$212" noThreeD="1" sel="3" val="0"/>
</file>

<file path=xl/ctrlProps/ctrlProp84.xml><?xml version="1.0" encoding="utf-8"?>
<formControlPr xmlns="http://schemas.microsoft.com/office/spreadsheetml/2009/9/main" objectType="Drop" dropLines="4" dropStyle="combo" dx="16" fmlaLink="$H$220:$I$220" fmlaRange="$B$210:$B$213" noThreeD="1" sel="4" val="0"/>
</file>

<file path=xl/ctrlProps/ctrlProp85.xml><?xml version="1.0" encoding="utf-8"?>
<formControlPr xmlns="http://schemas.microsoft.com/office/spreadsheetml/2009/9/main" objectType="Drop" dropLines="3" dropStyle="combo" dx="16" fmlaLink="$C$9" fmlaRange="$B$210:$B$212" noThreeD="1" sel="0" val="0"/>
</file>

<file path=xl/ctrlProps/ctrlProp86.xml><?xml version="1.0" encoding="utf-8"?>
<formControlPr xmlns="http://schemas.microsoft.com/office/spreadsheetml/2009/9/main" objectType="Drop" dropLines="4" dropStyle="combo" dx="16" fmlaLink="$H$220" fmlaRange="$B$210:$B$213" noThreeD="1" sel="4" val="0"/>
</file>

<file path=xl/ctrlProps/ctrlProp87.xml><?xml version="1.0" encoding="utf-8"?>
<formControlPr xmlns="http://schemas.microsoft.com/office/spreadsheetml/2009/9/main" objectType="Drop" dropLines="3" dropStyle="combo" dx="16" fmlaLink="$I$206" fmlaRange="$D$210:$D$212" noThreeD="1" sel="3" val="0"/>
</file>

<file path=xl/ctrlProps/ctrlProp88.xml><?xml version="1.0" encoding="utf-8"?>
<formControlPr xmlns="http://schemas.microsoft.com/office/spreadsheetml/2009/9/main" objectType="Drop" dropLines="3" dropStyle="combo" dx="16" fmlaLink="$I$206" fmlaRange="$D$210:$D$212" noThreeD="1" sel="3" val="0"/>
</file>

<file path=xl/ctrlProps/ctrlProp89.xml><?xml version="1.0" encoding="utf-8"?>
<formControlPr xmlns="http://schemas.microsoft.com/office/spreadsheetml/2009/9/main" objectType="Drop" dropLines="4" dropStyle="combo" dx="16" fmlaLink="$H$220:$I$220" fmlaRange="$B$210:$B$213" noThreeD="1" sel="4" val="0"/>
</file>

<file path=xl/ctrlProps/ctrlProp90.xml><?xml version="1.0" encoding="utf-8"?>
<formControlPr xmlns="http://schemas.microsoft.com/office/spreadsheetml/2009/9/main" objectType="Drop" dropLines="3" dropStyle="combo" dx="16" fmlaLink="$C$9" fmlaRange="$B$210:$B$212" noThreeD="1" sel="0" val="0"/>
</file>

<file path=xl/ctrlProps/ctrlProp91.xml><?xml version="1.0" encoding="utf-8"?>
<formControlPr xmlns="http://schemas.microsoft.com/office/spreadsheetml/2009/9/main" objectType="Drop" dropLines="4" dropStyle="combo" dx="16" fmlaLink="$H$220" fmlaRange="$B$210:$B$213" noThreeD="1" sel="4" val="0"/>
</file>

<file path=xl/ctrlProps/ctrlProp92.xml><?xml version="1.0" encoding="utf-8"?>
<formControlPr xmlns="http://schemas.microsoft.com/office/spreadsheetml/2009/9/main" objectType="Drop" dropLines="3" dropStyle="combo" dx="16" fmlaLink="$I$206" fmlaRange="$D$210:$D$212" noThreeD="1" sel="3" val="0"/>
</file>

<file path=xl/ctrlProps/ctrlProp93.xml><?xml version="1.0" encoding="utf-8"?>
<formControlPr xmlns="http://schemas.microsoft.com/office/spreadsheetml/2009/9/main" objectType="Drop" dropLines="3" dropStyle="combo" dx="16" fmlaLink="$I$206" fmlaRange="$D$210:$D$212" noThreeD="1" sel="3" val="0"/>
</file>

<file path=xl/ctrlProps/ctrlProp94.xml><?xml version="1.0" encoding="utf-8"?>
<formControlPr xmlns="http://schemas.microsoft.com/office/spreadsheetml/2009/9/main" objectType="Drop" dropLines="4" dropStyle="combo" dx="16" fmlaLink="$H$220:$I$220" fmlaRange="$B$210:$B$213" noThreeD="1" sel="4" val="0"/>
</file>

<file path=xl/ctrlProps/ctrlProp95.xml><?xml version="1.0" encoding="utf-8"?>
<formControlPr xmlns="http://schemas.microsoft.com/office/spreadsheetml/2009/9/main" objectType="Drop" dropLines="3" dropStyle="combo" dx="16" fmlaLink="$C$9" fmlaRange="$B$210:$B$212" noThreeD="1" sel="0" val="0"/>
</file>

<file path=xl/ctrlProps/ctrlProp96.xml><?xml version="1.0" encoding="utf-8"?>
<formControlPr xmlns="http://schemas.microsoft.com/office/spreadsheetml/2009/9/main" objectType="Drop" dropLines="4" dropStyle="combo" dx="16" fmlaLink="$H$220" fmlaRange="$B$210:$B$213" noThreeD="1" sel="4" val="0"/>
</file>

<file path=xl/ctrlProps/ctrlProp97.xml><?xml version="1.0" encoding="utf-8"?>
<formControlPr xmlns="http://schemas.microsoft.com/office/spreadsheetml/2009/9/main" objectType="Drop" dropLines="3" dropStyle="combo" dx="16" fmlaLink="$I$206" fmlaRange="$D$210:$D$212" noThreeD="1" sel="3" val="0"/>
</file>

<file path=xl/ctrlProps/ctrlProp98.xml><?xml version="1.0" encoding="utf-8"?>
<formControlPr xmlns="http://schemas.microsoft.com/office/spreadsheetml/2009/9/main" objectType="Drop" dropLines="3" dropStyle="combo" dx="16" fmlaLink="$I$206" fmlaRange="$D$210:$D$212" noThreeD="1" sel="3" val="0"/>
</file>

<file path=xl/ctrlProps/ctrlProp99.xml><?xml version="1.0" encoding="utf-8"?>
<formControlPr xmlns="http://schemas.microsoft.com/office/spreadsheetml/2009/9/main" objectType="Drop" dropLines="4" dropStyle="combo" dx="16" fmlaLink="$H$220:$I$220" fmlaRange="$B$210:$B$213" noThreeD="1" sel="4" val="0"/>
</file>

<file path=xl/ctrlProps/ctrlProp100.xml><?xml version="1.0" encoding="utf-8"?>
<formControlPr xmlns="http://schemas.microsoft.com/office/spreadsheetml/2009/9/main" objectType="Drop" dropLines="3" dropStyle="combo" dx="16" fmlaLink="$C$9" fmlaRange="$B$210:$B$212" noThreeD="1" sel="0" val="0"/>
</file>

<file path=xl/ctrlProps/ctrlProp101.xml><?xml version="1.0" encoding="utf-8"?>
<formControlPr xmlns="http://schemas.microsoft.com/office/spreadsheetml/2009/9/main" objectType="Drop" dropLines="4" dropStyle="combo" dx="16" fmlaLink="$H$220" fmlaRange="$B$210:$B$213" noThreeD="1" sel="4" val="0"/>
</file>

<file path=xl/ctrlProps/ctrlProp102.xml><?xml version="1.0" encoding="utf-8"?>
<formControlPr xmlns="http://schemas.microsoft.com/office/spreadsheetml/2009/9/main" objectType="Drop" dropLines="3" dropStyle="combo" dx="16" fmlaLink="$I$206" fmlaRange="$D$210:$D$212" noThreeD="1" sel="3" val="0"/>
</file>

<file path=xl/ctrlProps/ctrlProp103.xml><?xml version="1.0" encoding="utf-8"?>
<formControlPr xmlns="http://schemas.microsoft.com/office/spreadsheetml/2009/9/main" objectType="Drop" dropLines="3" dropStyle="combo" dx="16" fmlaLink="$I$206" fmlaRange="$D$210:$D$212" noThreeD="1" sel="3" val="0"/>
</file>

<file path=xl/ctrlProps/ctrlProp104.xml><?xml version="1.0" encoding="utf-8"?>
<formControlPr xmlns="http://schemas.microsoft.com/office/spreadsheetml/2009/9/main" objectType="Drop" dropLines="4" dropStyle="combo" dx="16" fmlaLink="$H$220:$I$220" fmlaRange="$B$210:$B$213" noThreeD="1" sel="4" val="0"/>
</file>

<file path=xl/ctrlProps/ctrlProp105.xml><?xml version="1.0" encoding="utf-8"?>
<formControlPr xmlns="http://schemas.microsoft.com/office/spreadsheetml/2009/9/main" objectType="Drop" dropLines="3" dropStyle="combo" dx="16" fmlaLink="$C$9" fmlaRange="$B$210:$B$212" noThreeD="1" sel="0" val="0"/>
</file>

<file path=xl/ctrlProps/ctrlProp106.xml><?xml version="1.0" encoding="utf-8"?>
<formControlPr xmlns="http://schemas.microsoft.com/office/spreadsheetml/2009/9/main" objectType="Drop" dropLines="4" dropStyle="combo" dx="16" fmlaLink="$H$220" fmlaRange="$B$210:$B$213" noThreeD="1" sel="4" val="0"/>
</file>

<file path=xl/ctrlProps/ctrlProp107.xml><?xml version="1.0" encoding="utf-8"?>
<formControlPr xmlns="http://schemas.microsoft.com/office/spreadsheetml/2009/9/main" objectType="Drop" dropLines="3" dropStyle="combo" dx="16" fmlaLink="$I$206" fmlaRange="$D$210:$D$212" noThreeD="1" sel="3" val="0"/>
</file>

<file path=xl/ctrlProps/ctrlProp108.xml><?xml version="1.0" encoding="utf-8"?>
<formControlPr xmlns="http://schemas.microsoft.com/office/spreadsheetml/2009/9/main" objectType="Drop" dropLines="3" dropStyle="combo" dx="16" fmlaLink="$I$206" fmlaRange="$D$210:$D$212" noThreeD="1" sel="3" val="0"/>
</file>

<file path=xl/ctrlProps/ctrlProp109.xml><?xml version="1.0" encoding="utf-8"?>
<formControlPr xmlns="http://schemas.microsoft.com/office/spreadsheetml/2009/9/main" objectType="Drop" dropLines="4" dropStyle="combo" dx="16" fmlaLink="$H$220:$I$220" fmlaRange="$B$210:$B$213" noThreeD="1" sel="4" val="0"/>
</file>

<file path=xl/ctrlProps/ctrlProp110.xml><?xml version="1.0" encoding="utf-8"?>
<formControlPr xmlns="http://schemas.microsoft.com/office/spreadsheetml/2009/9/main" objectType="Drop" dropLines="3" dropStyle="combo" dx="16" fmlaLink="$C$9" fmlaRange="$B$210:$B$212" noThreeD="1" sel="0" val="0"/>
</file>

<file path=xl/ctrlProps/ctrlProp111.xml><?xml version="1.0" encoding="utf-8"?>
<formControlPr xmlns="http://schemas.microsoft.com/office/spreadsheetml/2009/9/main" objectType="Drop" dropLines="4" dropStyle="combo" dx="16" fmlaLink="$H$220" fmlaRange="$B$210:$B$213" noThreeD="1" sel="4" val="0"/>
</file>

<file path=xl/ctrlProps/ctrlProp112.xml><?xml version="1.0" encoding="utf-8"?>
<formControlPr xmlns="http://schemas.microsoft.com/office/spreadsheetml/2009/9/main" objectType="Drop" dropLines="3" dropStyle="combo" dx="16" fmlaLink="$I$206" fmlaRange="$D$210:$D$212" noThreeD="1" sel="3" val="0"/>
</file>

<file path=xl/ctrlProps/ctrlProp113.xml><?xml version="1.0" encoding="utf-8"?>
<formControlPr xmlns="http://schemas.microsoft.com/office/spreadsheetml/2009/9/main" objectType="Drop" dropLines="3" dropStyle="combo" dx="16" fmlaLink="$I$206" fmlaRange="$D$210:$D$212" noThreeD="1" sel="3" val="0"/>
</file>

<file path=xl/ctrlProps/ctrlProp114.xml><?xml version="1.0" encoding="utf-8"?>
<formControlPr xmlns="http://schemas.microsoft.com/office/spreadsheetml/2009/9/main" objectType="Drop" dropLines="4" dropStyle="combo" dx="16" fmlaLink="$H$220:$I$220" fmlaRange="$B$210:$B$213" noThreeD="1" sel="4" val="0"/>
</file>

<file path=xl/ctrlProps/ctrlProp115.xml><?xml version="1.0" encoding="utf-8"?>
<formControlPr xmlns="http://schemas.microsoft.com/office/spreadsheetml/2009/9/main" objectType="Drop" dropLines="3" dropStyle="combo" dx="16" fmlaLink="$C$9" fmlaRange="$B$210:$B$212" noThreeD="1" sel="0" val="0"/>
</file>

<file path=xl/ctrlProps/ctrlProp116.xml><?xml version="1.0" encoding="utf-8"?>
<formControlPr xmlns="http://schemas.microsoft.com/office/spreadsheetml/2009/9/main" objectType="Drop" dropLines="4" dropStyle="combo" dx="16" fmlaLink="$H$220" fmlaRange="$B$210:$B$213" noThreeD="1" sel="4" val="0"/>
</file>

<file path=xl/ctrlProps/ctrlProp117.xml><?xml version="1.0" encoding="utf-8"?>
<formControlPr xmlns="http://schemas.microsoft.com/office/spreadsheetml/2009/9/main" objectType="Drop" dropLines="3" dropStyle="combo" dx="16" fmlaLink="$I$206" fmlaRange="$D$210:$D$212" noThreeD="1" sel="3" val="0"/>
</file>

<file path=xl/ctrlProps/ctrlProp118.xml><?xml version="1.0" encoding="utf-8"?>
<formControlPr xmlns="http://schemas.microsoft.com/office/spreadsheetml/2009/9/main" objectType="Drop" dropLines="3" dropStyle="combo" dx="16" fmlaLink="$I$206" fmlaRange="$D$210:$D$212" noThreeD="1" sel="3" val="0"/>
</file>

<file path=xl/ctrlProps/ctrlProp119.xml><?xml version="1.0" encoding="utf-8"?>
<formControlPr xmlns="http://schemas.microsoft.com/office/spreadsheetml/2009/9/main" objectType="Drop" dropLines="4" dropStyle="combo" dx="16" fmlaLink="$H$220:$I$220" fmlaRange="$B$210:$B$213" noThreeD="1" sel="4" val="0"/>
</file>

<file path=xl/ctrlProps/ctrlProp120.xml><?xml version="1.0" encoding="utf-8"?>
<formControlPr xmlns="http://schemas.microsoft.com/office/spreadsheetml/2009/9/main" objectType="Drop" dropLines="3" dropStyle="combo" dx="16" fmlaLink="$C$9" fmlaRange="$B$210:$B$212" noThreeD="1" sel="0" val="0"/>
</file>

<file path=xl/ctrlProps/ctrlProp121.xml><?xml version="1.0" encoding="utf-8"?>
<formControlPr xmlns="http://schemas.microsoft.com/office/spreadsheetml/2009/9/main" objectType="Drop" dropLines="4" dropStyle="combo" dx="16" fmlaLink="$H$220" fmlaRange="$B$210:$B$213" noThreeD="1" sel="4" val="0"/>
</file>

<file path=xl/ctrlProps/ctrlProp122.xml><?xml version="1.0" encoding="utf-8"?>
<formControlPr xmlns="http://schemas.microsoft.com/office/spreadsheetml/2009/9/main" objectType="Drop" dropLines="3" dropStyle="combo" dx="16" fmlaLink="$I$206" fmlaRange="$D$210:$D$212" noThreeD="1" sel="3" val="0"/>
</file>

<file path=xl/ctrlProps/ctrlProp123.xml><?xml version="1.0" encoding="utf-8"?>
<formControlPr xmlns="http://schemas.microsoft.com/office/spreadsheetml/2009/9/main" objectType="Drop" dropLines="3" dropStyle="combo" dx="16" fmlaLink="$I$206" fmlaRange="$D$210:$D$212" noThreeD="1" sel="3" val="0"/>
</file>

<file path=xl/ctrlProps/ctrlProp124.xml><?xml version="1.0" encoding="utf-8"?>
<formControlPr xmlns="http://schemas.microsoft.com/office/spreadsheetml/2009/9/main" objectType="Drop" dropLines="4" dropStyle="combo" dx="16" fmlaLink="$H$220:$I$220" fmlaRange="$B$210:$B$213" noThreeD="1" sel="4" val="0"/>
</file>

<file path=xl/ctrlProps/ctrlProp125.xml><?xml version="1.0" encoding="utf-8"?>
<formControlPr xmlns="http://schemas.microsoft.com/office/spreadsheetml/2009/9/main" objectType="Drop" dropLines="3" dropStyle="combo" dx="16" fmlaLink="$C$9" fmlaRange="$B$210:$B$212" noThreeD="1" sel="0" val="0"/>
</file>

<file path=xl/ctrlProps/ctrlProp126.xml><?xml version="1.0" encoding="utf-8"?>
<formControlPr xmlns="http://schemas.microsoft.com/office/spreadsheetml/2009/9/main" objectType="Drop" dropLines="4" dropStyle="combo" dx="16" fmlaLink="$H$220" fmlaRange="$B$210:$B$213" noThreeD="1" sel="4" val="0"/>
</file>

<file path=xl/ctrlProps/ctrlProp127.xml><?xml version="1.0" encoding="utf-8"?>
<formControlPr xmlns="http://schemas.microsoft.com/office/spreadsheetml/2009/9/main" objectType="Drop" dropLines="3" dropStyle="combo" dx="16" fmlaLink="$I$206" fmlaRange="$D$210:$D$212" noThreeD="1" sel="3" val="0"/>
</file>

<file path=xl/ctrlProps/ctrlProp128.xml><?xml version="1.0" encoding="utf-8"?>
<formControlPr xmlns="http://schemas.microsoft.com/office/spreadsheetml/2009/9/main" objectType="Drop" dropLines="3" dropStyle="combo" dx="16" fmlaLink="$I$206" fmlaRange="$D$210:$D$212" noThreeD="1" sel="3" val="0"/>
</file>

<file path=xl/ctrlProps/ctrlProp129.xml><?xml version="1.0" encoding="utf-8"?>
<formControlPr xmlns="http://schemas.microsoft.com/office/spreadsheetml/2009/9/main" objectType="Drop" dropLines="4" dropStyle="combo" dx="22" fmlaLink="$H$220:$I$220" fmlaRange="$B$210:$B$213" noThreeD="1" sel="4" val="0"/>
</file>

<file path=xl/ctrlProps/ctrlProp130.xml><?xml version="1.0" encoding="utf-8"?>
<formControlPr xmlns="http://schemas.microsoft.com/office/spreadsheetml/2009/9/main" objectType="Drop" dropLines="3" dropStyle="combo" dx="22" fmlaLink="$C$9" fmlaRange="$B$210:$B$212" noThreeD="1" sel="0" val="0"/>
</file>

<file path=xl/ctrlProps/ctrlProp131.xml><?xml version="1.0" encoding="utf-8"?>
<formControlPr xmlns="http://schemas.microsoft.com/office/spreadsheetml/2009/9/main" objectType="Drop" dropLines="4" dropStyle="combo" dx="22" fmlaLink="$H$220" fmlaRange="$B$210:$B$213" noThreeD="1" sel="4" val="0"/>
</file>

<file path=xl/ctrlProps/ctrlProp132.xml><?xml version="1.0" encoding="utf-8"?>
<formControlPr xmlns="http://schemas.microsoft.com/office/spreadsheetml/2009/9/main" objectType="Drop" dropLines="3" dropStyle="combo" dx="22" fmlaLink="$I$206" fmlaRange="$D$210:$D$212" noThreeD="1" sel="3" val="0"/>
</file>

<file path=xl/ctrlProps/ctrlProp133.xml><?xml version="1.0" encoding="utf-8"?>
<formControlPr xmlns="http://schemas.microsoft.com/office/spreadsheetml/2009/9/main" objectType="Drop" dropLines="3" dropStyle="combo" dx="22" fmlaLink="$I$206" fmlaRange="$D$210:$D$212" noThreeD="1" sel="3" val="0"/>
</file>

<file path=xl/ctrlProps/ctrlProp134.xml><?xml version="1.0" encoding="utf-8"?>
<formControlPr xmlns="http://schemas.microsoft.com/office/spreadsheetml/2009/9/main" objectType="Drop" dropLines="4" dropStyle="combo" dx="22" fmlaLink="$H$220:$I$220" fmlaRange="$B$210:$B$213" noThreeD="1" sel="4" val="0"/>
</file>

<file path=xl/ctrlProps/ctrlProp135.xml><?xml version="1.0" encoding="utf-8"?>
<formControlPr xmlns="http://schemas.microsoft.com/office/spreadsheetml/2009/9/main" objectType="Drop" dropLines="3" dropStyle="combo" dx="22" fmlaLink="$C$9" fmlaRange="$B$210:$B$212" noThreeD="1" sel="0" val="0"/>
</file>

<file path=xl/ctrlProps/ctrlProp136.xml><?xml version="1.0" encoding="utf-8"?>
<formControlPr xmlns="http://schemas.microsoft.com/office/spreadsheetml/2009/9/main" objectType="Drop" dropLines="4" dropStyle="combo" dx="22" fmlaLink="$H$220" fmlaRange="$B$210:$B$213" noThreeD="1" sel="4" val="0"/>
</file>

<file path=xl/ctrlProps/ctrlProp137.xml><?xml version="1.0" encoding="utf-8"?>
<formControlPr xmlns="http://schemas.microsoft.com/office/spreadsheetml/2009/9/main" objectType="Drop" dropLines="3" dropStyle="combo" dx="22" fmlaLink="$I$206" fmlaRange="$D$210:$D$212" noThreeD="1" sel="3" val="0"/>
</file>

<file path=xl/ctrlProps/ctrlProp138.xml><?xml version="1.0" encoding="utf-8"?>
<formControlPr xmlns="http://schemas.microsoft.com/office/spreadsheetml/2009/9/main" objectType="Drop" dropLines="3" dropStyle="combo" dx="22" fmlaLink="$I$206" fmlaRange="$D$210:$D$212" noThreeD="1" sel="3" val="0"/>
</file>

<file path=xl/ctrlProps/ctrlProp139.xml><?xml version="1.0" encoding="utf-8"?>
<formControlPr xmlns="http://schemas.microsoft.com/office/spreadsheetml/2009/9/main" objectType="Drop" dropLines="4" dropStyle="combo" dx="22" fmlaLink="$H$220:$I$220" fmlaRange="$B$210:$B$213" noThreeD="1" sel="4" val="0"/>
</file>

<file path=xl/ctrlProps/ctrlProp140.xml><?xml version="1.0" encoding="utf-8"?>
<formControlPr xmlns="http://schemas.microsoft.com/office/spreadsheetml/2009/9/main" objectType="Drop" dropLines="3" dropStyle="combo" dx="22" fmlaLink="$C$9" fmlaRange="$B$210:$B$212" noThreeD="1" sel="0" val="0"/>
</file>

<file path=xl/ctrlProps/ctrlProp141.xml><?xml version="1.0" encoding="utf-8"?>
<formControlPr xmlns="http://schemas.microsoft.com/office/spreadsheetml/2009/9/main" objectType="Drop" dropLines="4" dropStyle="combo" dx="22" fmlaLink="$H$220" fmlaRange="$B$210:$B$213" noThreeD="1" sel="4" val="0"/>
</file>

<file path=xl/ctrlProps/ctrlProp142.xml><?xml version="1.0" encoding="utf-8"?>
<formControlPr xmlns="http://schemas.microsoft.com/office/spreadsheetml/2009/9/main" objectType="Drop" dropLines="3" dropStyle="combo" dx="22" fmlaLink="$I$206" fmlaRange="$D$210:$D$212" noThreeD="1" sel="3" val="0"/>
</file>

<file path=xl/ctrlProps/ctrlProp143.xml><?xml version="1.0" encoding="utf-8"?>
<formControlPr xmlns="http://schemas.microsoft.com/office/spreadsheetml/2009/9/main" objectType="Drop" dropLines="3" dropStyle="combo" dx="22" fmlaLink="$I$206" fmlaRange="$D$210:$D$212" noThreeD="1" sel="3" val="0"/>
</file>

<file path=xl/ctrlProps/ctrlProp144.xml><?xml version="1.0" encoding="utf-8"?>
<formControlPr xmlns="http://schemas.microsoft.com/office/spreadsheetml/2009/9/main" objectType="Drop" dropLines="4" dropStyle="combo" dx="22" fmlaLink="$H$220:$I$220" fmlaRange="$B$210:$B$213" noThreeD="1" sel="4" val="0"/>
</file>

<file path=xl/ctrlProps/ctrlProp145.xml><?xml version="1.0" encoding="utf-8"?>
<formControlPr xmlns="http://schemas.microsoft.com/office/spreadsheetml/2009/9/main" objectType="Drop" dropLines="3" dropStyle="combo" dx="22" fmlaLink="$C$9" fmlaRange="$B$210:$B$212" noThreeD="1" sel="0" val="0"/>
</file>

<file path=xl/ctrlProps/ctrlProp146.xml><?xml version="1.0" encoding="utf-8"?>
<formControlPr xmlns="http://schemas.microsoft.com/office/spreadsheetml/2009/9/main" objectType="Drop" dropLines="4" dropStyle="combo" dx="22" fmlaLink="$H$220" fmlaRange="$B$210:$B$213" noThreeD="1" sel="4" val="0"/>
</file>

<file path=xl/ctrlProps/ctrlProp147.xml><?xml version="1.0" encoding="utf-8"?>
<formControlPr xmlns="http://schemas.microsoft.com/office/spreadsheetml/2009/9/main" objectType="Drop" dropLines="3" dropStyle="combo" dx="22" fmlaLink="$I$206" fmlaRange="$D$210:$D$212" noThreeD="1" sel="3" val="0"/>
</file>

<file path=xl/ctrlProps/ctrlProp148.xml><?xml version="1.0" encoding="utf-8"?>
<formControlPr xmlns="http://schemas.microsoft.com/office/spreadsheetml/2009/9/main" objectType="Drop" dropLines="3" dropStyle="combo" dx="22" fmlaLink="$I$206" fmlaRange="$D$210:$D$212" noThreeD="1" sel="3" val="0"/>
</file>

<file path=xl/ctrlProps/ctrlProp149.xml><?xml version="1.0" encoding="utf-8"?>
<formControlPr xmlns="http://schemas.microsoft.com/office/spreadsheetml/2009/9/main" objectType="Drop" dropLines="4" dropStyle="combo" dx="16" fmlaLink="$H$220:$I$220" fmlaRange="$B$210:$B$213" noThreeD="1" sel="4" val="0"/>
</file>

<file path=xl/ctrlProps/ctrlProp150.xml><?xml version="1.0" encoding="utf-8"?>
<formControlPr xmlns="http://schemas.microsoft.com/office/spreadsheetml/2009/9/main" objectType="Drop" dropLines="3" dropStyle="combo" dx="16" fmlaLink="$C$9" fmlaRange="$B$210:$B$212" noThreeD="1" sel="0" val="0"/>
</file>

<file path=xl/ctrlProps/ctrlProp151.xml><?xml version="1.0" encoding="utf-8"?>
<formControlPr xmlns="http://schemas.microsoft.com/office/spreadsheetml/2009/9/main" objectType="Drop" dropLines="4" dropStyle="combo" dx="16" fmlaLink="$H$220" fmlaRange="$B$210:$B$213" noThreeD="1" sel="4" val="0"/>
</file>

<file path=xl/ctrlProps/ctrlProp152.xml><?xml version="1.0" encoding="utf-8"?>
<formControlPr xmlns="http://schemas.microsoft.com/office/spreadsheetml/2009/9/main" objectType="Drop" dropLines="3" dropStyle="combo" dx="16" fmlaLink="$I$206" fmlaRange="$D$210:$D$212" noThreeD="1" sel="3" val="0"/>
</file>

<file path=xl/ctrlProps/ctrlProp153.xml><?xml version="1.0" encoding="utf-8"?>
<formControlPr xmlns="http://schemas.microsoft.com/office/spreadsheetml/2009/9/main" objectType="Drop" dropLines="3" dropStyle="combo" dx="16" fmlaLink="$I$206" fmlaRange="$D$210:$D$212" noThreeD="1" sel="3" val="0"/>
</file>

<file path=xl/ctrlProps/ctrlProp154.xml><?xml version="1.0" encoding="utf-8"?>
<formControlPr xmlns="http://schemas.microsoft.com/office/spreadsheetml/2009/9/main" objectType="Drop" dropLines="4" dropStyle="combo" dx="16" fmlaLink="$H$220:$I$220" fmlaRange="$B$210:$B$213" noThreeD="1" sel="4" val="0"/>
</file>

<file path=xl/ctrlProps/ctrlProp155.xml><?xml version="1.0" encoding="utf-8"?>
<formControlPr xmlns="http://schemas.microsoft.com/office/spreadsheetml/2009/9/main" objectType="Drop" dropLines="3" dropStyle="combo" dx="16" fmlaLink="$C$9" fmlaRange="$B$210:$B$212" noThreeD="1" sel="0" val="0"/>
</file>

<file path=xl/ctrlProps/ctrlProp156.xml><?xml version="1.0" encoding="utf-8"?>
<formControlPr xmlns="http://schemas.microsoft.com/office/spreadsheetml/2009/9/main" objectType="Drop" dropLines="4" dropStyle="combo" dx="16" fmlaLink="$H$220" fmlaRange="$B$210:$B$213" noThreeD="1" sel="4" val="0"/>
</file>

<file path=xl/ctrlProps/ctrlProp157.xml><?xml version="1.0" encoding="utf-8"?>
<formControlPr xmlns="http://schemas.microsoft.com/office/spreadsheetml/2009/9/main" objectType="Drop" dropLines="3" dropStyle="combo" dx="16" fmlaLink="$I$206" fmlaRange="$D$210:$D$212" noThreeD="1" sel="3" val="0"/>
</file>

<file path=xl/ctrlProps/ctrlProp158.xml><?xml version="1.0" encoding="utf-8"?>
<formControlPr xmlns="http://schemas.microsoft.com/office/spreadsheetml/2009/9/main" objectType="Drop" dropLines="3" dropStyle="combo" dx="16" fmlaLink="$I$206" fmlaRange="$D$210:$D$212" noThreeD="1" sel="3" val="0"/>
</file>

<file path=xl/ctrlProps/ctrlProp159.xml><?xml version="1.0" encoding="utf-8"?>
<formControlPr xmlns="http://schemas.microsoft.com/office/spreadsheetml/2009/9/main" objectType="Drop" dropLines="4" dropStyle="combo" dx="22" fmlaLink="$H$220:$I$220" fmlaRange="$B$210:$B$213" noThreeD="1" sel="4" val="0"/>
</file>

<file path=xl/ctrlProps/ctrlProp160.xml><?xml version="1.0" encoding="utf-8"?>
<formControlPr xmlns="http://schemas.microsoft.com/office/spreadsheetml/2009/9/main" objectType="Drop" dropLines="3" dropStyle="combo" dx="22" fmlaLink="$C$9" fmlaRange="$B$210:$B$212" noThreeD="1" sel="0" val="0"/>
</file>

<file path=xl/ctrlProps/ctrlProp161.xml><?xml version="1.0" encoding="utf-8"?>
<formControlPr xmlns="http://schemas.microsoft.com/office/spreadsheetml/2009/9/main" objectType="Drop" dropLines="4" dropStyle="combo" dx="22" fmlaLink="$H$220" fmlaRange="$B$210:$B$213" noThreeD="1" sel="4" val="0"/>
</file>

<file path=xl/ctrlProps/ctrlProp162.xml><?xml version="1.0" encoding="utf-8"?>
<formControlPr xmlns="http://schemas.microsoft.com/office/spreadsheetml/2009/9/main" objectType="Drop" dropLines="3" dropStyle="combo" dx="22" fmlaLink="$I$206" fmlaRange="$D$210:$D$212" noThreeD="1" sel="3" val="0"/>
</file>

<file path=xl/ctrlProps/ctrlProp163.xml><?xml version="1.0" encoding="utf-8"?>
<formControlPr xmlns="http://schemas.microsoft.com/office/spreadsheetml/2009/9/main" objectType="Drop" dropLines="3" dropStyle="combo" dx="22" fmlaLink="$I$206" fmlaRange="$D$210:$D$212" noThreeD="1" sel="3" val="0"/>
</file>

<file path=xl/ctrlProps/ctrlProp164.xml><?xml version="1.0" encoding="utf-8"?>
<formControlPr xmlns="http://schemas.microsoft.com/office/spreadsheetml/2009/9/main" objectType="Drop" dropLines="4" dropStyle="combo" dx="22" fmlaLink="$H$220:$I$220" fmlaRange="$B$210:$B$213" noThreeD="1" sel="4" val="0"/>
</file>

<file path=xl/ctrlProps/ctrlProp165.xml><?xml version="1.0" encoding="utf-8"?>
<formControlPr xmlns="http://schemas.microsoft.com/office/spreadsheetml/2009/9/main" objectType="Drop" dropLines="3" dropStyle="combo" dx="22" fmlaLink="$C$9" fmlaRange="$B$210:$B$212" noThreeD="1" sel="0" val="0"/>
</file>

<file path=xl/ctrlProps/ctrlProp166.xml><?xml version="1.0" encoding="utf-8"?>
<formControlPr xmlns="http://schemas.microsoft.com/office/spreadsheetml/2009/9/main" objectType="Drop" dropLines="4" dropStyle="combo" dx="22" fmlaLink="$H$220" fmlaRange="$B$210:$B$213" noThreeD="1" sel="4" val="0"/>
</file>

<file path=xl/ctrlProps/ctrlProp167.xml><?xml version="1.0" encoding="utf-8"?>
<formControlPr xmlns="http://schemas.microsoft.com/office/spreadsheetml/2009/9/main" objectType="Drop" dropLines="3" dropStyle="combo" dx="22" fmlaLink="$I$206" fmlaRange="$D$210:$D$212" noThreeD="1" sel="3" val="0"/>
</file>

<file path=xl/ctrlProps/ctrlProp168.xml><?xml version="1.0" encoding="utf-8"?>
<formControlPr xmlns="http://schemas.microsoft.com/office/spreadsheetml/2009/9/main" objectType="Drop" dropLines="3" dropStyle="combo" dx="22" fmlaLink="$I$206" fmlaRange="$D$210:$D$212" noThreeD="1" sel="3" val="0"/>
</file>

<file path=xl/ctrlProps/ctrlProp169.xml><?xml version="1.0" encoding="utf-8"?>
<formControlPr xmlns="http://schemas.microsoft.com/office/spreadsheetml/2009/9/main" objectType="Drop" dropLines="4" dropStyle="combo" dx="16" fmlaLink="$H$220:$I$220" fmlaRange="$B$210:$B$213" noThreeD="1" sel="4" val="0"/>
</file>

<file path=xl/ctrlProps/ctrlProp170.xml><?xml version="1.0" encoding="utf-8"?>
<formControlPr xmlns="http://schemas.microsoft.com/office/spreadsheetml/2009/9/main" objectType="Drop" dropLines="3" dropStyle="combo" dx="16" fmlaLink="$C$9" fmlaRange="$B$210:$B$212" noThreeD="1" sel="0" val="0"/>
</file>

<file path=xl/ctrlProps/ctrlProp171.xml><?xml version="1.0" encoding="utf-8"?>
<formControlPr xmlns="http://schemas.microsoft.com/office/spreadsheetml/2009/9/main" objectType="Drop" dropLines="4" dropStyle="combo" dx="16" fmlaLink="$H$220" fmlaRange="$B$210:$B$213" noThreeD="1" sel="4" val="0"/>
</file>

<file path=xl/ctrlProps/ctrlProp172.xml><?xml version="1.0" encoding="utf-8"?>
<formControlPr xmlns="http://schemas.microsoft.com/office/spreadsheetml/2009/9/main" objectType="Drop" dropLines="3" dropStyle="combo" dx="16" fmlaLink="$I$206" fmlaRange="$D$210:$D$212" noThreeD="1" sel="3" val="0"/>
</file>

<file path=xl/ctrlProps/ctrlProp173.xml><?xml version="1.0" encoding="utf-8"?>
<formControlPr xmlns="http://schemas.microsoft.com/office/spreadsheetml/2009/9/main" objectType="Drop" dropLines="3" dropStyle="combo" dx="16" fmlaLink="$I$206" fmlaRange="$D$210:$D$212" noThreeD="1" sel="3" val="0"/>
</file>

<file path=xl/ctrlProps/ctrlProp174.xml><?xml version="1.0" encoding="utf-8"?>
<formControlPr xmlns="http://schemas.microsoft.com/office/spreadsheetml/2009/9/main" objectType="Drop" dropLines="4" dropStyle="combo" dx="16" fmlaLink="$H$220:$I$220" fmlaRange="$B$210:$B$213" noThreeD="1" sel="4" val="0"/>
</file>

<file path=xl/ctrlProps/ctrlProp175.xml><?xml version="1.0" encoding="utf-8"?>
<formControlPr xmlns="http://schemas.microsoft.com/office/spreadsheetml/2009/9/main" objectType="Drop" dropLines="3" dropStyle="combo" dx="16" fmlaLink="$C$9" fmlaRange="$B$210:$B$212" noThreeD="1" sel="0" val="0"/>
</file>

<file path=xl/ctrlProps/ctrlProp176.xml><?xml version="1.0" encoding="utf-8"?>
<formControlPr xmlns="http://schemas.microsoft.com/office/spreadsheetml/2009/9/main" objectType="Drop" dropLines="4" dropStyle="combo" dx="16" fmlaLink="$H$220" fmlaRange="$B$210:$B$213" noThreeD="1" sel="4" val="0"/>
</file>

<file path=xl/ctrlProps/ctrlProp177.xml><?xml version="1.0" encoding="utf-8"?>
<formControlPr xmlns="http://schemas.microsoft.com/office/spreadsheetml/2009/9/main" objectType="Drop" dropLines="3" dropStyle="combo" dx="16" fmlaLink="$I$206" fmlaRange="$D$210:$D$212" noThreeD="1" sel="3" val="0"/>
</file>

<file path=xl/ctrlProps/ctrlProp178.xml><?xml version="1.0" encoding="utf-8"?>
<formControlPr xmlns="http://schemas.microsoft.com/office/spreadsheetml/2009/9/main" objectType="Drop" dropLines="3" dropStyle="combo" dx="16" fmlaLink="$I$206" fmlaRange="$D$210:$D$212" noThreeD="1" sel="3" val="0"/>
</file>

<file path=xl/ctrlProps/ctrlProp179.xml><?xml version="1.0" encoding="utf-8"?>
<formControlPr xmlns="http://schemas.microsoft.com/office/spreadsheetml/2009/9/main" objectType="Drop" dropLines="4" dropStyle="combo" dx="16" fmlaLink="$H$220:$I$220" fmlaRange="$B$210:$B$213" noThreeD="1" sel="4" val="0"/>
</file>

<file path=xl/ctrlProps/ctrlProp180.xml><?xml version="1.0" encoding="utf-8"?>
<formControlPr xmlns="http://schemas.microsoft.com/office/spreadsheetml/2009/9/main" objectType="Drop" dropLines="3" dropStyle="combo" dx="16" fmlaLink="$C$9" fmlaRange="$B$210:$B$212" noThreeD="1" sel="0" val="0"/>
</file>

<file path=xl/ctrlProps/ctrlProp181.xml><?xml version="1.0" encoding="utf-8"?>
<formControlPr xmlns="http://schemas.microsoft.com/office/spreadsheetml/2009/9/main" objectType="Drop" dropLines="4" dropStyle="combo" dx="16" fmlaLink="$H$220" fmlaRange="$B$210:$B$213" noThreeD="1" sel="4" val="0"/>
</file>

<file path=xl/ctrlProps/ctrlProp182.xml><?xml version="1.0" encoding="utf-8"?>
<formControlPr xmlns="http://schemas.microsoft.com/office/spreadsheetml/2009/9/main" objectType="Drop" dropLines="3" dropStyle="combo" dx="16" fmlaLink="$I$206" fmlaRange="$D$210:$D$212" noThreeD="1" sel="3" val="0"/>
</file>

<file path=xl/ctrlProps/ctrlProp183.xml><?xml version="1.0" encoding="utf-8"?>
<formControlPr xmlns="http://schemas.microsoft.com/office/spreadsheetml/2009/9/main" objectType="Drop" dropLines="3" dropStyle="combo" dx="16" fmlaLink="$I$206" fmlaRange="$D$210:$D$212" noThreeD="1" sel="3" val="0"/>
</file>

<file path=xl/ctrlProps/ctrlProp184.xml><?xml version="1.0" encoding="utf-8"?>
<formControlPr xmlns="http://schemas.microsoft.com/office/spreadsheetml/2009/9/main" objectType="Drop" dropLines="4" dropStyle="combo" dx="16" fmlaLink="$H$220:$I$220" fmlaRange="$B$210:$B$213" noThreeD="1" sel="4" val="0"/>
</file>

<file path=xl/ctrlProps/ctrlProp185.xml><?xml version="1.0" encoding="utf-8"?>
<formControlPr xmlns="http://schemas.microsoft.com/office/spreadsheetml/2009/9/main" objectType="Drop" dropLines="3" dropStyle="combo" dx="16" fmlaLink="$C$9" fmlaRange="$B$210:$B$212" noThreeD="1" sel="0" val="0"/>
</file>

<file path=xl/ctrlProps/ctrlProp186.xml><?xml version="1.0" encoding="utf-8"?>
<formControlPr xmlns="http://schemas.microsoft.com/office/spreadsheetml/2009/9/main" objectType="Drop" dropLines="4" dropStyle="combo" dx="16" fmlaLink="$H$220" fmlaRange="$B$210:$B$213" noThreeD="1" sel="4" val="0"/>
</file>

<file path=xl/ctrlProps/ctrlProp187.xml><?xml version="1.0" encoding="utf-8"?>
<formControlPr xmlns="http://schemas.microsoft.com/office/spreadsheetml/2009/9/main" objectType="Drop" dropLines="3" dropStyle="combo" dx="16" fmlaLink="$I$206" fmlaRange="$D$210:$D$212" noThreeD="1" sel="3" val="0"/>
</file>

<file path=xl/ctrlProps/ctrlProp188.xml><?xml version="1.0" encoding="utf-8"?>
<formControlPr xmlns="http://schemas.microsoft.com/office/spreadsheetml/2009/9/main" objectType="Drop" dropLines="3" dropStyle="combo" dx="16" fmlaLink="$I$206" fmlaRange="$D$210:$D$212" noThreeD="1" sel="3" val="0"/>
</file>

<file path=xl/ctrlProps/ctrlProp189.xml><?xml version="1.0" encoding="utf-8"?>
<formControlPr xmlns="http://schemas.microsoft.com/office/spreadsheetml/2009/9/main" objectType="Drop" dropLines="4" dropStyle="combo" dx="16" fmlaLink="$H$220:$I$220" fmlaRange="$B$210:$B$213" noThreeD="1" sel="4" val="0"/>
</file>

<file path=xl/ctrlProps/ctrlProp190.xml><?xml version="1.0" encoding="utf-8"?>
<formControlPr xmlns="http://schemas.microsoft.com/office/spreadsheetml/2009/9/main" objectType="Drop" dropLines="3" dropStyle="combo" dx="16" fmlaLink="$C$9" fmlaRange="$B$210:$B$212" noThreeD="1" sel="0" val="0"/>
</file>

<file path=xl/ctrlProps/ctrlProp191.xml><?xml version="1.0" encoding="utf-8"?>
<formControlPr xmlns="http://schemas.microsoft.com/office/spreadsheetml/2009/9/main" objectType="Drop" dropLines="4" dropStyle="combo" dx="16" fmlaLink="$H$220" fmlaRange="$B$210:$B$213" noThreeD="1" sel="4" val="0"/>
</file>

<file path=xl/ctrlProps/ctrlProp192.xml><?xml version="1.0" encoding="utf-8"?>
<formControlPr xmlns="http://schemas.microsoft.com/office/spreadsheetml/2009/9/main" objectType="Drop" dropLines="3" dropStyle="combo" dx="16" fmlaLink="$I$206" fmlaRange="$D$210:$D$212" noThreeD="1" sel="3" val="0"/>
</file>

<file path=xl/ctrlProps/ctrlProp193.xml><?xml version="1.0" encoding="utf-8"?>
<formControlPr xmlns="http://schemas.microsoft.com/office/spreadsheetml/2009/9/main" objectType="Drop" dropLines="3" dropStyle="combo" dx="16" fmlaLink="$I$206" fmlaRange="$D$210:$D$212" noThreeD="1" sel="3" val="0"/>
</file>

<file path=xl/ctrlProps/ctrlProp194.xml><?xml version="1.0" encoding="utf-8"?>
<formControlPr xmlns="http://schemas.microsoft.com/office/spreadsheetml/2009/9/main" objectType="Drop" dropLines="4" dropStyle="combo" dx="16" fmlaLink="$H$220:$I$220" fmlaRange="$B$210:$B$213" noThreeD="1" sel="4" val="0"/>
</file>

<file path=xl/ctrlProps/ctrlProp195.xml><?xml version="1.0" encoding="utf-8"?>
<formControlPr xmlns="http://schemas.microsoft.com/office/spreadsheetml/2009/9/main" objectType="Drop" dropLines="3" dropStyle="combo" dx="16" fmlaLink="$C$9" fmlaRange="$B$210:$B$212" noThreeD="1" sel="0" val="0"/>
</file>

<file path=xl/ctrlProps/ctrlProp196.xml><?xml version="1.0" encoding="utf-8"?>
<formControlPr xmlns="http://schemas.microsoft.com/office/spreadsheetml/2009/9/main" objectType="Drop" dropLines="4" dropStyle="combo" dx="16" fmlaLink="$H$220" fmlaRange="$B$210:$B$213" noThreeD="1" sel="4" val="0"/>
</file>

<file path=xl/ctrlProps/ctrlProp197.xml><?xml version="1.0" encoding="utf-8"?>
<formControlPr xmlns="http://schemas.microsoft.com/office/spreadsheetml/2009/9/main" objectType="Drop" dropLines="3" dropStyle="combo" dx="16" fmlaLink="$I$206" fmlaRange="$D$210:$D$212" noThreeD="1" sel="3" val="0"/>
</file>

<file path=xl/ctrlProps/ctrlProp198.xml><?xml version="1.0" encoding="utf-8"?>
<formControlPr xmlns="http://schemas.microsoft.com/office/spreadsheetml/2009/9/main" objectType="Drop" dropLines="3" dropStyle="combo" dx="16" fmlaLink="$I$206" fmlaRange="$D$210:$D$212" noThreeD="1" sel="3" val="0"/>
</file>

<file path=xl/ctrlProps/ctrlProp199.xml><?xml version="1.0" encoding="utf-8"?>
<formControlPr xmlns="http://schemas.microsoft.com/office/spreadsheetml/2009/9/main" objectType="Drop" dropLines="4" dropStyle="combo" dx="16" fmlaLink="$H$220:$I$220" fmlaRange="$B$210:$B$213" noThreeD="1" sel="4" val="0"/>
</file>

<file path=xl/ctrlProps/ctrlProp200.xml><?xml version="1.0" encoding="utf-8"?>
<formControlPr xmlns="http://schemas.microsoft.com/office/spreadsheetml/2009/9/main" objectType="Drop" dropLines="3" dropStyle="combo" dx="16" fmlaLink="$C$9" fmlaRange="$B$210:$B$212" noThreeD="1" sel="0" val="0"/>
</file>

<file path=xl/ctrlProps/ctrlProp201.xml><?xml version="1.0" encoding="utf-8"?>
<formControlPr xmlns="http://schemas.microsoft.com/office/spreadsheetml/2009/9/main" objectType="Drop" dropLines="4" dropStyle="combo" dx="16" fmlaLink="$H$220" fmlaRange="$B$210:$B$213" noThreeD="1" sel="4" val="0"/>
</file>

<file path=xl/ctrlProps/ctrlProp202.xml><?xml version="1.0" encoding="utf-8"?>
<formControlPr xmlns="http://schemas.microsoft.com/office/spreadsheetml/2009/9/main" objectType="Drop" dropLines="3" dropStyle="combo" dx="16" fmlaLink="$I$206" fmlaRange="$D$210:$D$212" noThreeD="1" sel="3" val="0"/>
</file>

<file path=xl/ctrlProps/ctrlProp203.xml><?xml version="1.0" encoding="utf-8"?>
<formControlPr xmlns="http://schemas.microsoft.com/office/spreadsheetml/2009/9/main" objectType="Drop" dropLines="3" dropStyle="combo" dx="16" fmlaLink="$I$206" fmlaRange="$D$210:$D$212" noThreeD="1" sel="3" val="0"/>
</file>

<file path=xl/ctrlProps/ctrlProp204.xml><?xml version="1.0" encoding="utf-8"?>
<formControlPr xmlns="http://schemas.microsoft.com/office/spreadsheetml/2009/9/main" objectType="Drop" dropLines="4" dropStyle="combo" dx="16" fmlaLink="$H$220:$I$220" fmlaRange="$B$210:$B$213" noThreeD="1" sel="4" val="0"/>
</file>

<file path=xl/ctrlProps/ctrlProp205.xml><?xml version="1.0" encoding="utf-8"?>
<formControlPr xmlns="http://schemas.microsoft.com/office/spreadsheetml/2009/9/main" objectType="Drop" dropLines="3" dropStyle="combo" dx="16" fmlaLink="$C$9" fmlaRange="$B$210:$B$212" noThreeD="1" sel="0" val="0"/>
</file>

<file path=xl/ctrlProps/ctrlProp206.xml><?xml version="1.0" encoding="utf-8"?>
<formControlPr xmlns="http://schemas.microsoft.com/office/spreadsheetml/2009/9/main" objectType="Drop" dropLines="4" dropStyle="combo" dx="16" fmlaLink="$H$220" fmlaRange="$B$210:$B$213" noThreeD="1" sel="4" val="0"/>
</file>

<file path=xl/ctrlProps/ctrlProp207.xml><?xml version="1.0" encoding="utf-8"?>
<formControlPr xmlns="http://schemas.microsoft.com/office/spreadsheetml/2009/9/main" objectType="Drop" dropLines="3" dropStyle="combo" dx="16" fmlaLink="$I$206" fmlaRange="$D$210:$D$212" noThreeD="1" sel="3" val="0"/>
</file>

<file path=xl/ctrlProps/ctrlProp208.xml><?xml version="1.0" encoding="utf-8"?>
<formControlPr xmlns="http://schemas.microsoft.com/office/spreadsheetml/2009/9/main" objectType="Drop" dropLines="3" dropStyle="combo" dx="16" fmlaLink="$I$206" fmlaRange="$D$210:$D$212" noThreeD="1" sel="3" val="0"/>
</file>

<file path=xl/ctrlProps/ctrlProp209.xml><?xml version="1.0" encoding="utf-8"?>
<formControlPr xmlns="http://schemas.microsoft.com/office/spreadsheetml/2009/9/main" objectType="Drop" dropLines="4" dropStyle="combo" dx="16" fmlaLink="$H$220:$I$220" fmlaRange="$B$210:$B$213" noThreeD="1" sel="4" val="0"/>
</file>

<file path=xl/ctrlProps/ctrlProp210.xml><?xml version="1.0" encoding="utf-8"?>
<formControlPr xmlns="http://schemas.microsoft.com/office/spreadsheetml/2009/9/main" objectType="Drop" dropLines="3" dropStyle="combo" dx="16" fmlaLink="$C$9" fmlaRange="$B$210:$B$212" noThreeD="1" sel="0" val="0"/>
</file>

<file path=xl/ctrlProps/ctrlProp211.xml><?xml version="1.0" encoding="utf-8"?>
<formControlPr xmlns="http://schemas.microsoft.com/office/spreadsheetml/2009/9/main" objectType="Drop" dropLines="4" dropStyle="combo" dx="16" fmlaLink="$H$220" fmlaRange="$B$210:$B$213" noThreeD="1" sel="4" val="0"/>
</file>

<file path=xl/ctrlProps/ctrlProp212.xml><?xml version="1.0" encoding="utf-8"?>
<formControlPr xmlns="http://schemas.microsoft.com/office/spreadsheetml/2009/9/main" objectType="Drop" dropLines="3" dropStyle="combo" dx="16" fmlaLink="$I$206" fmlaRange="$D$210:$D$212" noThreeD="1" sel="3" val="0"/>
</file>

<file path=xl/ctrlProps/ctrlProp213.xml><?xml version="1.0" encoding="utf-8"?>
<formControlPr xmlns="http://schemas.microsoft.com/office/spreadsheetml/2009/9/main" objectType="Drop" dropLines="3" dropStyle="combo" dx="16" fmlaLink="$I$206" fmlaRange="$D$210:$D$212" noThreeD="1" sel="3" val="0"/>
</file>

<file path=xl/ctrlProps/ctrlProp214.xml><?xml version="1.0" encoding="utf-8"?>
<formControlPr xmlns="http://schemas.microsoft.com/office/spreadsheetml/2009/9/main" objectType="Drop" dropLines="4" dropStyle="combo" dx="16" fmlaLink="$H$220:$I$220" fmlaRange="$B$210:$B$213" noThreeD="1" sel="4" val="0"/>
</file>

<file path=xl/ctrlProps/ctrlProp215.xml><?xml version="1.0" encoding="utf-8"?>
<formControlPr xmlns="http://schemas.microsoft.com/office/spreadsheetml/2009/9/main" objectType="Drop" dropLines="3" dropStyle="combo" dx="16" fmlaLink="$C$9" fmlaRange="$B$210:$B$212" noThreeD="1" sel="0" val="0"/>
</file>

<file path=xl/ctrlProps/ctrlProp216.xml><?xml version="1.0" encoding="utf-8"?>
<formControlPr xmlns="http://schemas.microsoft.com/office/spreadsheetml/2009/9/main" objectType="Drop" dropLines="4" dropStyle="combo" dx="16" fmlaLink="$H$220" fmlaRange="$B$210:$B$213" noThreeD="1" sel="4" val="0"/>
</file>

<file path=xl/ctrlProps/ctrlProp217.xml><?xml version="1.0" encoding="utf-8"?>
<formControlPr xmlns="http://schemas.microsoft.com/office/spreadsheetml/2009/9/main" objectType="Drop" dropLines="3" dropStyle="combo" dx="16" fmlaLink="$I$206" fmlaRange="$D$210:$D$212" noThreeD="1" sel="3" val="0"/>
</file>

<file path=xl/ctrlProps/ctrlProp218.xml><?xml version="1.0" encoding="utf-8"?>
<formControlPr xmlns="http://schemas.microsoft.com/office/spreadsheetml/2009/9/main" objectType="Drop" dropLines="3" dropStyle="combo" dx="16" fmlaLink="$I$206" fmlaRange="$D$210:$D$212" noThreeD="1" sel="3" val="0"/>
</file>

<file path=xl/ctrlProps/ctrlProp219.xml><?xml version="1.0" encoding="utf-8"?>
<formControlPr xmlns="http://schemas.microsoft.com/office/spreadsheetml/2009/9/main" objectType="Drop" dropLines="4" dropStyle="combo" dx="16" fmlaLink="$H$220:$I$220" fmlaRange="$B$210:$B$213" noThreeD="1" sel="4" val="0"/>
</file>

<file path=xl/ctrlProps/ctrlProp220.xml><?xml version="1.0" encoding="utf-8"?>
<formControlPr xmlns="http://schemas.microsoft.com/office/spreadsheetml/2009/9/main" objectType="Drop" dropLines="3" dropStyle="combo" dx="16" fmlaLink="$C$9" fmlaRange="$B$210:$B$212" noThreeD="1" sel="0" val="0"/>
</file>

<file path=xl/ctrlProps/ctrlProp221.xml><?xml version="1.0" encoding="utf-8"?>
<formControlPr xmlns="http://schemas.microsoft.com/office/spreadsheetml/2009/9/main" objectType="Drop" dropLines="4" dropStyle="combo" dx="16" fmlaLink="$H$220" fmlaRange="$B$210:$B$213" noThreeD="1" sel="4" val="0"/>
</file>

<file path=xl/ctrlProps/ctrlProp222.xml><?xml version="1.0" encoding="utf-8"?>
<formControlPr xmlns="http://schemas.microsoft.com/office/spreadsheetml/2009/9/main" objectType="Drop" dropLines="3" dropStyle="combo" dx="16" fmlaLink="$I$206" fmlaRange="$D$210:$D$212" noThreeD="1" sel="3" val="0"/>
</file>

<file path=xl/ctrlProps/ctrlProp223.xml><?xml version="1.0" encoding="utf-8"?>
<formControlPr xmlns="http://schemas.microsoft.com/office/spreadsheetml/2009/9/main" objectType="Drop" dropLines="3" dropStyle="combo" dx="16" fmlaLink="$I$206" fmlaRange="$D$210:$D$212" noThreeD="1" sel="3" val="0"/>
</file>

<file path=xl/ctrlProps/ctrlProp224.xml><?xml version="1.0" encoding="utf-8"?>
<formControlPr xmlns="http://schemas.microsoft.com/office/spreadsheetml/2009/9/main" objectType="Drop" dropLines="4" dropStyle="combo" dx="16" fmlaLink="$H$220:$I$220" fmlaRange="$B$210:$B$213" noThreeD="1" sel="4" val="0"/>
</file>

<file path=xl/ctrlProps/ctrlProp225.xml><?xml version="1.0" encoding="utf-8"?>
<formControlPr xmlns="http://schemas.microsoft.com/office/spreadsheetml/2009/9/main" objectType="Drop" dropLines="3" dropStyle="combo" dx="16" fmlaLink="$C$9" fmlaRange="$B$210:$B$212" noThreeD="1" sel="0" val="0"/>
</file>

<file path=xl/ctrlProps/ctrlProp226.xml><?xml version="1.0" encoding="utf-8"?>
<formControlPr xmlns="http://schemas.microsoft.com/office/spreadsheetml/2009/9/main" objectType="Drop" dropLines="4" dropStyle="combo" dx="16" fmlaLink="$H$220" fmlaRange="$B$210:$B$213" noThreeD="1" sel="4" val="0"/>
</file>

<file path=xl/ctrlProps/ctrlProp227.xml><?xml version="1.0" encoding="utf-8"?>
<formControlPr xmlns="http://schemas.microsoft.com/office/spreadsheetml/2009/9/main" objectType="Drop" dropLines="3" dropStyle="combo" dx="16" fmlaLink="$I$206" fmlaRange="$D$210:$D$212" noThreeD="1" sel="3" val="0"/>
</file>

<file path=xl/ctrlProps/ctrlProp228.xml><?xml version="1.0" encoding="utf-8"?>
<formControlPr xmlns="http://schemas.microsoft.com/office/spreadsheetml/2009/9/main" objectType="Drop" dropLines="3" dropStyle="combo" dx="16" fmlaLink="$I$206" fmlaRange="$D$210:$D$212" noThreeD="1" sel="3" val="0"/>
</file>

<file path=xl/ctrlProps/ctrlProp229.xml><?xml version="1.0" encoding="utf-8"?>
<formControlPr xmlns="http://schemas.microsoft.com/office/spreadsheetml/2009/9/main" objectType="Drop" dropLines="4" dropStyle="combo" dx="16" fmlaLink="$H$220:$I$220" fmlaRange="$B$210:$B$213" noThreeD="1" sel="4" val="0"/>
</file>

<file path=xl/ctrlProps/ctrlProp230.xml><?xml version="1.0" encoding="utf-8"?>
<formControlPr xmlns="http://schemas.microsoft.com/office/spreadsheetml/2009/9/main" objectType="Drop" dropLines="3" dropStyle="combo" dx="16" fmlaLink="$C$9" fmlaRange="$B$210:$B$212" noThreeD="1" sel="0" val="0"/>
</file>

<file path=xl/ctrlProps/ctrlProp231.xml><?xml version="1.0" encoding="utf-8"?>
<formControlPr xmlns="http://schemas.microsoft.com/office/spreadsheetml/2009/9/main" objectType="Drop" dropLines="4" dropStyle="combo" dx="16" fmlaLink="$H$220" fmlaRange="$B$210:$B$213" noThreeD="1" sel="4" val="0"/>
</file>

<file path=xl/ctrlProps/ctrlProp232.xml><?xml version="1.0" encoding="utf-8"?>
<formControlPr xmlns="http://schemas.microsoft.com/office/spreadsheetml/2009/9/main" objectType="Drop" dropLines="3" dropStyle="combo" dx="16" fmlaLink="$I$206" fmlaRange="$D$210:$D$212" noThreeD="1" sel="3" val="0"/>
</file>

<file path=xl/ctrlProps/ctrlProp233.xml><?xml version="1.0" encoding="utf-8"?>
<formControlPr xmlns="http://schemas.microsoft.com/office/spreadsheetml/2009/9/main" objectType="Drop" dropLines="3" dropStyle="combo" dx="16" fmlaLink="$I$206" fmlaRange="$D$210:$D$212" noThreeD="1" sel="3" val="0"/>
</file>

<file path=xl/ctrlProps/ctrlProp234.xml><?xml version="1.0" encoding="utf-8"?>
<formControlPr xmlns="http://schemas.microsoft.com/office/spreadsheetml/2009/9/main" objectType="Drop" dropLines="4" dropStyle="combo" dx="16" fmlaLink="$H$220:$I$220" fmlaRange="$B$210:$B$213" noThreeD="1" sel="4" val="0"/>
</file>

<file path=xl/ctrlProps/ctrlProp235.xml><?xml version="1.0" encoding="utf-8"?>
<formControlPr xmlns="http://schemas.microsoft.com/office/spreadsheetml/2009/9/main" objectType="Drop" dropLines="3" dropStyle="combo" dx="16" fmlaLink="$C$9" fmlaRange="$B$210:$B$212" noThreeD="1" sel="0" val="0"/>
</file>

<file path=xl/ctrlProps/ctrlProp236.xml><?xml version="1.0" encoding="utf-8"?>
<formControlPr xmlns="http://schemas.microsoft.com/office/spreadsheetml/2009/9/main" objectType="Drop" dropLines="4" dropStyle="combo" dx="16" fmlaLink="$H$220" fmlaRange="$B$210:$B$213" noThreeD="1" sel="4" val="0"/>
</file>

<file path=xl/ctrlProps/ctrlProp237.xml><?xml version="1.0" encoding="utf-8"?>
<formControlPr xmlns="http://schemas.microsoft.com/office/spreadsheetml/2009/9/main" objectType="Drop" dropLines="3" dropStyle="combo" dx="16" fmlaLink="$I$206" fmlaRange="$D$210:$D$212" noThreeD="1" sel="3" val="0"/>
</file>

<file path=xl/ctrlProps/ctrlProp238.xml><?xml version="1.0" encoding="utf-8"?>
<formControlPr xmlns="http://schemas.microsoft.com/office/spreadsheetml/2009/9/main" objectType="Drop" dropLines="3" dropStyle="combo" dx="16" fmlaLink="$I$206" fmlaRange="$D$210:$D$212" noThreeD="1" sel="3" val="0"/>
</file>

<file path=xl/ctrlProps/ctrlProp239.xml><?xml version="1.0" encoding="utf-8"?>
<formControlPr xmlns="http://schemas.microsoft.com/office/spreadsheetml/2009/9/main" objectType="Drop" dropLines="4" dropStyle="combo" dx="16" fmlaLink="$H$220:$I$220" fmlaRange="$B$210:$B$213" noThreeD="1" sel="4" val="0"/>
</file>

<file path=xl/ctrlProps/ctrlProp240.xml><?xml version="1.0" encoding="utf-8"?>
<formControlPr xmlns="http://schemas.microsoft.com/office/spreadsheetml/2009/9/main" objectType="Drop" dropLines="3" dropStyle="combo" dx="16" fmlaLink="$C$9" fmlaRange="$B$210:$B$212" noThreeD="1" sel="0" val="0"/>
</file>

<file path=xl/ctrlProps/ctrlProp241.xml><?xml version="1.0" encoding="utf-8"?>
<formControlPr xmlns="http://schemas.microsoft.com/office/spreadsheetml/2009/9/main" objectType="Drop" dropLines="4" dropStyle="combo" dx="16" fmlaLink="$H$220" fmlaRange="$B$210:$B$213" noThreeD="1" sel="4" val="0"/>
</file>

<file path=xl/ctrlProps/ctrlProp242.xml><?xml version="1.0" encoding="utf-8"?>
<formControlPr xmlns="http://schemas.microsoft.com/office/spreadsheetml/2009/9/main" objectType="Drop" dropLines="3" dropStyle="combo" dx="16" fmlaLink="$I$206" fmlaRange="$D$210:$D$212" noThreeD="1" sel="3" val="0"/>
</file>

<file path=xl/ctrlProps/ctrlProp243.xml><?xml version="1.0" encoding="utf-8"?>
<formControlPr xmlns="http://schemas.microsoft.com/office/spreadsheetml/2009/9/main" objectType="Drop" dropLines="3" dropStyle="combo" dx="16" fmlaLink="$I$206" fmlaRange="$D$210:$D$212" noThreeD="1" sel="3" val="0"/>
</file>

<file path=xl/ctrlProps/ctrlProp244.xml><?xml version="1.0" encoding="utf-8"?>
<formControlPr xmlns="http://schemas.microsoft.com/office/spreadsheetml/2009/9/main" objectType="Drop" dropLines="4" dropStyle="combo" dx="16" fmlaLink="$H$220:$I$220" fmlaRange="$B$210:$B$213" noThreeD="1" sel="4" val="0"/>
</file>

<file path=xl/ctrlProps/ctrlProp245.xml><?xml version="1.0" encoding="utf-8"?>
<formControlPr xmlns="http://schemas.microsoft.com/office/spreadsheetml/2009/9/main" objectType="Drop" dropLines="3" dropStyle="combo" dx="16" fmlaLink="$C$9" fmlaRange="$B$210:$B$212" noThreeD="1" sel="0" val="0"/>
</file>

<file path=xl/ctrlProps/ctrlProp246.xml><?xml version="1.0" encoding="utf-8"?>
<formControlPr xmlns="http://schemas.microsoft.com/office/spreadsheetml/2009/9/main" objectType="Drop" dropLines="4" dropStyle="combo" dx="16" fmlaLink="$H$220" fmlaRange="$B$210:$B$213" noThreeD="1" sel="4" val="0"/>
</file>

<file path=xl/ctrlProps/ctrlProp247.xml><?xml version="1.0" encoding="utf-8"?>
<formControlPr xmlns="http://schemas.microsoft.com/office/spreadsheetml/2009/9/main" objectType="Drop" dropLines="3" dropStyle="combo" dx="16" fmlaLink="$I$206" fmlaRange="$D$210:$D$212" noThreeD="1" sel="3" val="0"/>
</file>

<file path=xl/ctrlProps/ctrlProp248.xml><?xml version="1.0" encoding="utf-8"?>
<formControlPr xmlns="http://schemas.microsoft.com/office/spreadsheetml/2009/9/main" objectType="Drop" dropLines="3" dropStyle="combo" dx="16" fmlaLink="$I$206" fmlaRange="$D$210:$D$212" noThreeD="1" sel="3" val="0"/>
</file>

<file path=xl/ctrlProps/ctrlProp249.xml><?xml version="1.0" encoding="utf-8"?>
<formControlPr xmlns="http://schemas.microsoft.com/office/spreadsheetml/2009/9/main" objectType="Drop" dropLines="4" dropStyle="combo" dx="16" fmlaLink="$H$220:$I$220" fmlaRange="$B$210:$B$213" noThreeD="1" sel="4" val="0"/>
</file>

<file path=xl/ctrlProps/ctrlProp250.xml><?xml version="1.0" encoding="utf-8"?>
<formControlPr xmlns="http://schemas.microsoft.com/office/spreadsheetml/2009/9/main" objectType="Drop" dropLines="3" dropStyle="combo" dx="16" fmlaLink="$C$9" fmlaRange="$B$210:$B$212" noThreeD="1" sel="0" val="0"/>
</file>

<file path=xl/ctrlProps/ctrlProp251.xml><?xml version="1.0" encoding="utf-8"?>
<formControlPr xmlns="http://schemas.microsoft.com/office/spreadsheetml/2009/9/main" objectType="Drop" dropLines="4" dropStyle="combo" dx="16" fmlaLink="$H$220" fmlaRange="$B$210:$B$213" noThreeD="1" sel="4" val="0"/>
</file>

<file path=xl/ctrlProps/ctrlProp252.xml><?xml version="1.0" encoding="utf-8"?>
<formControlPr xmlns="http://schemas.microsoft.com/office/spreadsheetml/2009/9/main" objectType="Drop" dropLines="3" dropStyle="combo" dx="16" fmlaLink="$I$206" fmlaRange="$D$210:$D$212" noThreeD="1" sel="3" val="0"/>
</file>

<file path=xl/ctrlProps/ctrlProp253.xml><?xml version="1.0" encoding="utf-8"?>
<formControlPr xmlns="http://schemas.microsoft.com/office/spreadsheetml/2009/9/main" objectType="Drop" dropLines="3" dropStyle="combo" dx="16" fmlaLink="$I$206" fmlaRange="$D$210:$D$212" noThreeD="1" sel="3" val="0"/>
</file>

<file path=xl/ctrlProps/ctrlProp254.xml><?xml version="1.0" encoding="utf-8"?>
<formControlPr xmlns="http://schemas.microsoft.com/office/spreadsheetml/2009/9/main" objectType="Drop" dropLines="4" dropStyle="combo" dx="16" fmlaLink="$H$220:$I$220" fmlaRange="$B$210:$B$213" noThreeD="1" sel="4" val="0"/>
</file>

<file path=xl/ctrlProps/ctrlProp255.xml><?xml version="1.0" encoding="utf-8"?>
<formControlPr xmlns="http://schemas.microsoft.com/office/spreadsheetml/2009/9/main" objectType="Drop" dropLines="3" dropStyle="combo" dx="16" fmlaLink="$C$9" fmlaRange="$B$210:$B$212" noThreeD="1" sel="0" val="0"/>
</file>

<file path=xl/ctrlProps/ctrlProp256.xml><?xml version="1.0" encoding="utf-8"?>
<formControlPr xmlns="http://schemas.microsoft.com/office/spreadsheetml/2009/9/main" objectType="Drop" dropLines="4" dropStyle="combo" dx="16" fmlaLink="$H$220" fmlaRange="$B$210:$B$213" noThreeD="1" sel="4" val="0"/>
</file>

<file path=xl/ctrlProps/ctrlProp257.xml><?xml version="1.0" encoding="utf-8"?>
<formControlPr xmlns="http://schemas.microsoft.com/office/spreadsheetml/2009/9/main" objectType="Drop" dropLines="3" dropStyle="combo" dx="16" fmlaLink="$I$206" fmlaRange="$D$210:$D$212" noThreeD="1" sel="3" val="0"/>
</file>

<file path=xl/ctrlProps/ctrlProp258.xml><?xml version="1.0" encoding="utf-8"?>
<formControlPr xmlns="http://schemas.microsoft.com/office/spreadsheetml/2009/9/main" objectType="Drop" dropLines="3" dropStyle="combo" dx="16" fmlaLink="$I$206" fmlaRange="$D$210:$D$212" noThreeD="1" sel="3" val="0"/>
</file>

<file path=xl/ctrlProps/ctrlProp259.xml><?xml version="1.0" encoding="utf-8"?>
<formControlPr xmlns="http://schemas.microsoft.com/office/spreadsheetml/2009/9/main" objectType="Drop" dropLines="4" dropStyle="combo" dx="16" fmlaLink="$H$220:$I$220" fmlaRange="$B$210:$B$213" noThreeD="1" sel="4" val="0"/>
</file>

<file path=xl/ctrlProps/ctrlProp260.xml><?xml version="1.0" encoding="utf-8"?>
<formControlPr xmlns="http://schemas.microsoft.com/office/spreadsheetml/2009/9/main" objectType="Drop" dropLines="3" dropStyle="combo" dx="16" fmlaLink="$C$9" fmlaRange="$B$210:$B$212" noThreeD="1" sel="0" val="0"/>
</file>

<file path=xl/ctrlProps/ctrlProp261.xml><?xml version="1.0" encoding="utf-8"?>
<formControlPr xmlns="http://schemas.microsoft.com/office/spreadsheetml/2009/9/main" objectType="Drop" dropLines="4" dropStyle="combo" dx="16" fmlaLink="$H$220" fmlaRange="$B$210:$B$213" noThreeD="1" sel="4" val="0"/>
</file>

<file path=xl/ctrlProps/ctrlProp262.xml><?xml version="1.0" encoding="utf-8"?>
<formControlPr xmlns="http://schemas.microsoft.com/office/spreadsheetml/2009/9/main" objectType="Drop" dropLines="3" dropStyle="combo" dx="16" fmlaLink="$I$206" fmlaRange="$D$210:$D$212" noThreeD="1" sel="3" val="0"/>
</file>

<file path=xl/ctrlProps/ctrlProp263.xml><?xml version="1.0" encoding="utf-8"?>
<formControlPr xmlns="http://schemas.microsoft.com/office/spreadsheetml/2009/9/main" objectType="Drop" dropLines="3" dropStyle="combo" dx="16" fmlaLink="$I$206" fmlaRange="$D$210:$D$212" noThreeD="1" sel="3" val="0"/>
</file>

<file path=xl/ctrlProps/ctrlProp264.xml><?xml version="1.0" encoding="utf-8"?>
<formControlPr xmlns="http://schemas.microsoft.com/office/spreadsheetml/2009/9/main" objectType="Drop" dropLines="4" dropStyle="combo" dx="16" fmlaLink="$H$220:$I$220" fmlaRange="$B$210:$B$213" noThreeD="1" sel="4" val="0"/>
</file>

<file path=xl/ctrlProps/ctrlProp265.xml><?xml version="1.0" encoding="utf-8"?>
<formControlPr xmlns="http://schemas.microsoft.com/office/spreadsheetml/2009/9/main" objectType="Drop" dropLines="3" dropStyle="combo" dx="16" fmlaLink="$C$9" fmlaRange="$B$210:$B$212" noThreeD="1" sel="0" val="0"/>
</file>

<file path=xl/ctrlProps/ctrlProp266.xml><?xml version="1.0" encoding="utf-8"?>
<formControlPr xmlns="http://schemas.microsoft.com/office/spreadsheetml/2009/9/main" objectType="Drop" dropLines="4" dropStyle="combo" dx="16" fmlaLink="$H$220" fmlaRange="$B$210:$B$213" noThreeD="1" sel="4" val="0"/>
</file>

<file path=xl/ctrlProps/ctrlProp267.xml><?xml version="1.0" encoding="utf-8"?>
<formControlPr xmlns="http://schemas.microsoft.com/office/spreadsheetml/2009/9/main" objectType="Drop" dropLines="3" dropStyle="combo" dx="16" fmlaLink="$I$206" fmlaRange="$D$210:$D$212" noThreeD="1" sel="3" val="0"/>
</file>

<file path=xl/ctrlProps/ctrlProp268.xml><?xml version="1.0" encoding="utf-8"?>
<formControlPr xmlns="http://schemas.microsoft.com/office/spreadsheetml/2009/9/main" objectType="Drop" dropLines="3" dropStyle="combo" dx="16" fmlaLink="$I$206" fmlaRange="$D$210:$D$212" noThreeD="1" sel="3" val="0"/>
</file>

<file path=xl/ctrlProps/ctrlProp269.xml><?xml version="1.0" encoding="utf-8"?>
<formControlPr xmlns="http://schemas.microsoft.com/office/spreadsheetml/2009/9/main" objectType="Drop" dropLines="4" dropStyle="combo" dx="16" fmlaLink="$H$220:$I$220" fmlaRange="$B$210:$B$213" noThreeD="1" sel="4" val="0"/>
</file>

<file path=xl/ctrlProps/ctrlProp270.xml><?xml version="1.0" encoding="utf-8"?>
<formControlPr xmlns="http://schemas.microsoft.com/office/spreadsheetml/2009/9/main" objectType="Drop" dropLines="3" dropStyle="combo" dx="16" fmlaLink="$C$9" fmlaRange="$B$210:$B$212" noThreeD="1" sel="0" val="0"/>
</file>

<file path=xl/ctrlProps/ctrlProp271.xml><?xml version="1.0" encoding="utf-8"?>
<formControlPr xmlns="http://schemas.microsoft.com/office/spreadsheetml/2009/9/main" objectType="Drop" dropLines="4" dropStyle="combo" dx="16" fmlaLink="$H$220" fmlaRange="$B$210:$B$213" noThreeD="1" sel="4" val="0"/>
</file>

<file path=xl/ctrlProps/ctrlProp272.xml><?xml version="1.0" encoding="utf-8"?>
<formControlPr xmlns="http://schemas.microsoft.com/office/spreadsheetml/2009/9/main" objectType="Drop" dropLines="3" dropStyle="combo" dx="16" fmlaLink="$I$206" fmlaRange="$D$210:$D$212" noThreeD="1" sel="3" val="0"/>
</file>

<file path=xl/ctrlProps/ctrlProp273.xml><?xml version="1.0" encoding="utf-8"?>
<formControlPr xmlns="http://schemas.microsoft.com/office/spreadsheetml/2009/9/main" objectType="Drop" dropLines="3" dropStyle="combo" dx="16" fmlaLink="$I$206" fmlaRange="$D$210:$D$212" noThreeD="1" sel="3" val="0"/>
</file>

<file path=xl/ctrlProps/ctrlProp274.xml><?xml version="1.0" encoding="utf-8"?>
<formControlPr xmlns="http://schemas.microsoft.com/office/spreadsheetml/2009/9/main" objectType="Drop" dropLines="4" dropStyle="combo" dx="16" fmlaLink="$H$220:$I$220" fmlaRange="$B$210:$B$213" noThreeD="1" sel="4" val="0"/>
</file>

<file path=xl/ctrlProps/ctrlProp275.xml><?xml version="1.0" encoding="utf-8"?>
<formControlPr xmlns="http://schemas.microsoft.com/office/spreadsheetml/2009/9/main" objectType="Drop" dropLines="3" dropStyle="combo" dx="16" fmlaLink="$C$9" fmlaRange="$B$210:$B$212" noThreeD="1" sel="0" val="0"/>
</file>

<file path=xl/ctrlProps/ctrlProp276.xml><?xml version="1.0" encoding="utf-8"?>
<formControlPr xmlns="http://schemas.microsoft.com/office/spreadsheetml/2009/9/main" objectType="Drop" dropLines="4" dropStyle="combo" dx="16" fmlaLink="$H$220" fmlaRange="$B$210:$B$213" noThreeD="1" sel="4" val="0"/>
</file>

<file path=xl/ctrlProps/ctrlProp277.xml><?xml version="1.0" encoding="utf-8"?>
<formControlPr xmlns="http://schemas.microsoft.com/office/spreadsheetml/2009/9/main" objectType="Drop" dropLines="3" dropStyle="combo" dx="16" fmlaLink="$I$206" fmlaRange="$D$210:$D$212" noThreeD="1" sel="3" val="0"/>
</file>

<file path=xl/ctrlProps/ctrlProp278.xml><?xml version="1.0" encoding="utf-8"?>
<formControlPr xmlns="http://schemas.microsoft.com/office/spreadsheetml/2009/9/main" objectType="Drop" dropLines="3" dropStyle="combo" dx="16" fmlaLink="$I$206" fmlaRange="$D$210:$D$212" noThreeD="1" sel="3" val="0"/>
</file>

<file path=xl/ctrlProps/ctrlProp279.xml><?xml version="1.0" encoding="utf-8"?>
<formControlPr xmlns="http://schemas.microsoft.com/office/spreadsheetml/2009/9/main" objectType="Drop" dropLines="4" dropStyle="combo" dx="16" fmlaLink="$H$220:$I$220" fmlaRange="$B$210:$B$213" noThreeD="1" sel="4" val="0"/>
</file>

<file path=xl/ctrlProps/ctrlProp280.xml><?xml version="1.0" encoding="utf-8"?>
<formControlPr xmlns="http://schemas.microsoft.com/office/spreadsheetml/2009/9/main" objectType="Drop" dropLines="3" dropStyle="combo" dx="16" fmlaLink="$C$9" fmlaRange="$B$210:$B$212" noThreeD="1" sel="0" val="0"/>
</file>

<file path=xl/ctrlProps/ctrlProp281.xml><?xml version="1.0" encoding="utf-8"?>
<formControlPr xmlns="http://schemas.microsoft.com/office/spreadsheetml/2009/9/main" objectType="Drop" dropLines="4" dropStyle="combo" dx="16" fmlaLink="$H$220" fmlaRange="$B$210:$B$213" noThreeD="1" sel="4" val="0"/>
</file>

<file path=xl/ctrlProps/ctrlProp282.xml><?xml version="1.0" encoding="utf-8"?>
<formControlPr xmlns="http://schemas.microsoft.com/office/spreadsheetml/2009/9/main" objectType="Drop" dropLines="3" dropStyle="combo" dx="16" fmlaLink="$I$206" fmlaRange="$D$210:$D$212" noThreeD="1" sel="3" val="0"/>
</file>

<file path=xl/ctrlProps/ctrlProp283.xml><?xml version="1.0" encoding="utf-8"?>
<formControlPr xmlns="http://schemas.microsoft.com/office/spreadsheetml/2009/9/main" objectType="Drop" dropLines="3" dropStyle="combo" dx="16" fmlaLink="$I$206" fmlaRange="$D$210:$D$212" noThreeD="1" sel="3" val="0"/>
</file>

<file path=xl/ctrlProps/ctrlProp284.xml><?xml version="1.0" encoding="utf-8"?>
<formControlPr xmlns="http://schemas.microsoft.com/office/spreadsheetml/2009/9/main" objectType="Drop" dropLines="4" dropStyle="combo" dx="16" fmlaLink="$H$220:$I$220" fmlaRange="$B$210:$B$213" noThreeD="1" sel="4" val="0"/>
</file>

<file path=xl/ctrlProps/ctrlProp285.xml><?xml version="1.0" encoding="utf-8"?>
<formControlPr xmlns="http://schemas.microsoft.com/office/spreadsheetml/2009/9/main" objectType="Drop" dropLines="3" dropStyle="combo" dx="16" fmlaLink="$C$9" fmlaRange="$B$210:$B$212" noThreeD="1" sel="0" val="0"/>
</file>

<file path=xl/ctrlProps/ctrlProp286.xml><?xml version="1.0" encoding="utf-8"?>
<formControlPr xmlns="http://schemas.microsoft.com/office/spreadsheetml/2009/9/main" objectType="Drop" dropLines="4" dropStyle="combo" dx="16" fmlaLink="$H$220" fmlaRange="$B$210:$B$213" noThreeD="1" sel="4" val="0"/>
</file>

<file path=xl/ctrlProps/ctrlProp287.xml><?xml version="1.0" encoding="utf-8"?>
<formControlPr xmlns="http://schemas.microsoft.com/office/spreadsheetml/2009/9/main" objectType="Drop" dropLines="3" dropStyle="combo" dx="16" fmlaLink="$I$206" fmlaRange="$D$210:$D$212" noThreeD="1" sel="3" val="0"/>
</file>

<file path=xl/ctrlProps/ctrlProp288.xml><?xml version="1.0" encoding="utf-8"?>
<formControlPr xmlns="http://schemas.microsoft.com/office/spreadsheetml/2009/9/main" objectType="Drop" dropLines="3" dropStyle="combo" dx="16" fmlaLink="$I$206" fmlaRange="$D$210:$D$212" noThreeD="1" sel="3" val="0"/>
</file>

<file path=xl/ctrlProps/ctrlProp289.xml><?xml version="1.0" encoding="utf-8"?>
<formControlPr xmlns="http://schemas.microsoft.com/office/spreadsheetml/2009/9/main" objectType="Drop" dropLines="4" dropStyle="combo" dx="16" fmlaLink="$H$220:$I$220" fmlaRange="$B$210:$B$213" noThreeD="1" sel="4" val="0"/>
</file>

<file path=xl/ctrlProps/ctrlProp290.xml><?xml version="1.0" encoding="utf-8"?>
<formControlPr xmlns="http://schemas.microsoft.com/office/spreadsheetml/2009/9/main" objectType="Drop" dropLines="3" dropStyle="combo" dx="16" fmlaLink="$C$9" fmlaRange="$B$210:$B$212" noThreeD="1" sel="0" val="0"/>
</file>

<file path=xl/ctrlProps/ctrlProp291.xml><?xml version="1.0" encoding="utf-8"?>
<formControlPr xmlns="http://schemas.microsoft.com/office/spreadsheetml/2009/9/main" objectType="Drop" dropLines="4" dropStyle="combo" dx="16" fmlaLink="$H$220" fmlaRange="$B$210:$B$213" noThreeD="1" sel="4" val="0"/>
</file>

<file path=xl/ctrlProps/ctrlProp292.xml><?xml version="1.0" encoding="utf-8"?>
<formControlPr xmlns="http://schemas.microsoft.com/office/spreadsheetml/2009/9/main" objectType="Drop" dropLines="3" dropStyle="combo" dx="16" fmlaLink="$I$206" fmlaRange="$D$210:$D$212" noThreeD="1" sel="3" val="0"/>
</file>

<file path=xl/ctrlProps/ctrlProp293.xml><?xml version="1.0" encoding="utf-8"?>
<formControlPr xmlns="http://schemas.microsoft.com/office/spreadsheetml/2009/9/main" objectType="Drop" dropLines="3" dropStyle="combo" dx="16" fmlaLink="$I$206" fmlaRange="$D$210:$D$212" noThreeD="1" sel="3" val="0"/>
</file>

<file path=xl/ctrlProps/ctrlProp294.xml><?xml version="1.0" encoding="utf-8"?>
<formControlPr xmlns="http://schemas.microsoft.com/office/spreadsheetml/2009/9/main" objectType="Drop" dropLines="4" dropStyle="combo" dx="16" fmlaLink="$H$220:$I$220" fmlaRange="$B$210:$B$213" noThreeD="1" sel="4" val="0"/>
</file>

<file path=xl/ctrlProps/ctrlProp295.xml><?xml version="1.0" encoding="utf-8"?>
<formControlPr xmlns="http://schemas.microsoft.com/office/spreadsheetml/2009/9/main" objectType="Drop" dropLines="3" dropStyle="combo" dx="16" fmlaLink="$C$9" fmlaRange="$B$210:$B$212" noThreeD="1" sel="0" val="0"/>
</file>

<file path=xl/ctrlProps/ctrlProp296.xml><?xml version="1.0" encoding="utf-8"?>
<formControlPr xmlns="http://schemas.microsoft.com/office/spreadsheetml/2009/9/main" objectType="Drop" dropLines="4" dropStyle="combo" dx="16" fmlaLink="$H$220" fmlaRange="$B$210:$B$213" noThreeD="1" sel="4" val="0"/>
</file>

<file path=xl/ctrlProps/ctrlProp297.xml><?xml version="1.0" encoding="utf-8"?>
<formControlPr xmlns="http://schemas.microsoft.com/office/spreadsheetml/2009/9/main" objectType="Drop" dropLines="3" dropStyle="combo" dx="16" fmlaLink="$I$206" fmlaRange="$D$210:$D$212" noThreeD="1" sel="3" val="0"/>
</file>

<file path=xl/ctrlProps/ctrlProp298.xml><?xml version="1.0" encoding="utf-8"?>
<formControlPr xmlns="http://schemas.microsoft.com/office/spreadsheetml/2009/9/main" objectType="Drop" dropLines="3" dropStyle="combo" dx="16" fmlaLink="$I$206" fmlaRange="$D$210:$D$212" noThreeD="1" sel="3" val="0"/>
</file>

<file path=xl/ctrlProps/ctrlProp299.xml><?xml version="1.0" encoding="utf-8"?>
<formControlPr xmlns="http://schemas.microsoft.com/office/spreadsheetml/2009/9/main" objectType="Drop" dropLines="4" dropStyle="combo" dx="16" fmlaLink="$H$220:$I$220" fmlaRange="$B$210:$B$213" noThreeD="1" sel="4" val="0"/>
</file>

<file path=xl/ctrlProps/ctrlProp300.xml><?xml version="1.0" encoding="utf-8"?>
<formControlPr xmlns="http://schemas.microsoft.com/office/spreadsheetml/2009/9/main" objectType="Drop" dropLines="3" dropStyle="combo" dx="16" fmlaLink="$C$9" fmlaRange="$B$210:$B$212" noThreeD="1" sel="0" val="0"/>
</file>

<file path=xl/ctrlProps/ctrlProp301.xml><?xml version="1.0" encoding="utf-8"?>
<formControlPr xmlns="http://schemas.microsoft.com/office/spreadsheetml/2009/9/main" objectType="Drop" dropLines="4" dropStyle="combo" dx="16" fmlaLink="$H$220" fmlaRange="$B$210:$B$213" noThreeD="1" sel="4" val="0"/>
</file>

<file path=xl/ctrlProps/ctrlProp302.xml><?xml version="1.0" encoding="utf-8"?>
<formControlPr xmlns="http://schemas.microsoft.com/office/spreadsheetml/2009/9/main" objectType="Drop" dropLines="3" dropStyle="combo" dx="16" fmlaLink="$I$206" fmlaRange="$D$210:$D$212" noThreeD="1" sel="3" val="0"/>
</file>

<file path=xl/ctrlProps/ctrlProp303.xml><?xml version="1.0" encoding="utf-8"?>
<formControlPr xmlns="http://schemas.microsoft.com/office/spreadsheetml/2009/9/main" objectType="Drop" dropLines="3" dropStyle="combo" dx="16" fmlaLink="$I$206" fmlaRange="$D$210:$D$212" noThreeD="1" sel="3" val="0"/>
</file>

<file path=xl/ctrlProps/ctrlProp304.xml><?xml version="1.0" encoding="utf-8"?>
<formControlPr xmlns="http://schemas.microsoft.com/office/spreadsheetml/2009/9/main" objectType="Drop" dropLines="4" dropStyle="combo" dx="16" fmlaLink="$H$220:$I$220" fmlaRange="$B$210:$B$213" noThreeD="1" sel="4" val="0"/>
</file>

<file path=xl/ctrlProps/ctrlProp305.xml><?xml version="1.0" encoding="utf-8"?>
<formControlPr xmlns="http://schemas.microsoft.com/office/spreadsheetml/2009/9/main" objectType="Drop" dropLines="3" dropStyle="combo" dx="16" fmlaLink="$C$9" fmlaRange="$B$210:$B$212" noThreeD="1" sel="0" val="0"/>
</file>

<file path=xl/ctrlProps/ctrlProp306.xml><?xml version="1.0" encoding="utf-8"?>
<formControlPr xmlns="http://schemas.microsoft.com/office/spreadsheetml/2009/9/main" objectType="Drop" dropLines="4" dropStyle="combo" dx="16" fmlaLink="$H$220" fmlaRange="$B$210:$B$213" noThreeD="1" sel="4" val="0"/>
</file>

<file path=xl/ctrlProps/ctrlProp307.xml><?xml version="1.0" encoding="utf-8"?>
<formControlPr xmlns="http://schemas.microsoft.com/office/spreadsheetml/2009/9/main" objectType="Drop" dropLines="3" dropStyle="combo" dx="16" fmlaLink="$I$206" fmlaRange="$D$210:$D$212" noThreeD="1" sel="3" val="0"/>
</file>

<file path=xl/ctrlProps/ctrlProp308.xml><?xml version="1.0" encoding="utf-8"?>
<formControlPr xmlns="http://schemas.microsoft.com/office/spreadsheetml/2009/9/main" objectType="Drop" dropLines="3" dropStyle="combo" dx="16" fmlaLink="$I$206" fmlaRange="$D$210:$D$212" noThreeD="1" sel="3" val="0"/>
</file>

<file path=xl/ctrlProps/ctrlProp309.xml><?xml version="1.0" encoding="utf-8"?>
<formControlPr xmlns="http://schemas.microsoft.com/office/spreadsheetml/2009/9/main" objectType="Drop" dropLines="4" dropStyle="combo" dx="16" fmlaLink="$H$220:$I$220" fmlaRange="$B$210:$B$213" noThreeD="1" sel="4" val="0"/>
</file>

<file path=xl/ctrlProps/ctrlProp310.xml><?xml version="1.0" encoding="utf-8"?>
<formControlPr xmlns="http://schemas.microsoft.com/office/spreadsheetml/2009/9/main" objectType="Drop" dropLines="3" dropStyle="combo" dx="16" fmlaLink="$C$9" fmlaRange="$B$210:$B$212" noThreeD="1" sel="0" val="0"/>
</file>

<file path=xl/ctrlProps/ctrlProp311.xml><?xml version="1.0" encoding="utf-8"?>
<formControlPr xmlns="http://schemas.microsoft.com/office/spreadsheetml/2009/9/main" objectType="Drop" dropLines="4" dropStyle="combo" dx="16" fmlaLink="$H$220" fmlaRange="$B$210:$B$213" noThreeD="1" sel="4" val="0"/>
</file>

<file path=xl/ctrlProps/ctrlProp312.xml><?xml version="1.0" encoding="utf-8"?>
<formControlPr xmlns="http://schemas.microsoft.com/office/spreadsheetml/2009/9/main" objectType="Drop" dropLines="3" dropStyle="combo" dx="16" fmlaLink="$I$206" fmlaRange="$D$210:$D$212" noThreeD="1" sel="3" val="0"/>
</file>

<file path=xl/ctrlProps/ctrlProp313.xml><?xml version="1.0" encoding="utf-8"?>
<formControlPr xmlns="http://schemas.microsoft.com/office/spreadsheetml/2009/9/main" objectType="Drop" dropLines="3" dropStyle="combo" dx="16" fmlaLink="$I$206" fmlaRange="$D$210:$D$212" noThreeD="1" sel="3" val="0"/>
</file>

<file path=xl/ctrlProps/ctrlProp314.xml><?xml version="1.0" encoding="utf-8"?>
<formControlPr xmlns="http://schemas.microsoft.com/office/spreadsheetml/2009/9/main" objectType="Drop" dropLines="4" dropStyle="combo" dx="16" fmlaLink="$H$220:$I$220" fmlaRange="$B$210:$B$213" noThreeD="1" sel="4" val="0"/>
</file>

<file path=xl/ctrlProps/ctrlProp315.xml><?xml version="1.0" encoding="utf-8"?>
<formControlPr xmlns="http://schemas.microsoft.com/office/spreadsheetml/2009/9/main" objectType="Drop" dropLines="3" dropStyle="combo" dx="16" fmlaLink="$C$9" fmlaRange="$B$210:$B$212" noThreeD="1" sel="0" val="0"/>
</file>

<file path=xl/ctrlProps/ctrlProp316.xml><?xml version="1.0" encoding="utf-8"?>
<formControlPr xmlns="http://schemas.microsoft.com/office/spreadsheetml/2009/9/main" objectType="Drop" dropLines="4" dropStyle="combo" dx="16" fmlaLink="$H$220" fmlaRange="$B$210:$B$213" noThreeD="1" sel="4" val="0"/>
</file>

<file path=xl/ctrlProps/ctrlProp317.xml><?xml version="1.0" encoding="utf-8"?>
<formControlPr xmlns="http://schemas.microsoft.com/office/spreadsheetml/2009/9/main" objectType="Drop" dropLines="3" dropStyle="combo" dx="16" fmlaLink="$I$206" fmlaRange="$D$210:$D$212" noThreeD="1" sel="3" val="0"/>
</file>

<file path=xl/ctrlProps/ctrlProp318.xml><?xml version="1.0" encoding="utf-8"?>
<formControlPr xmlns="http://schemas.microsoft.com/office/spreadsheetml/2009/9/main" objectType="Drop" dropLines="3" dropStyle="combo" dx="16" fmlaLink="$I$206" fmlaRange="$D$210:$D$212" noThreeD="1" sel="3" val="0"/>
</file>

<file path=xl/ctrlProps/ctrlProp319.xml><?xml version="1.0" encoding="utf-8"?>
<formControlPr xmlns="http://schemas.microsoft.com/office/spreadsheetml/2009/9/main" objectType="Drop" dropLines="4" dropStyle="combo" dx="16" fmlaLink="$H$220:$I$220" fmlaRange="$B$210:$B$213" noThreeD="1" sel="4" val="0"/>
</file>

<file path=xl/ctrlProps/ctrlProp320.xml><?xml version="1.0" encoding="utf-8"?>
<formControlPr xmlns="http://schemas.microsoft.com/office/spreadsheetml/2009/9/main" objectType="Drop" dropLines="3" dropStyle="combo" dx="16" fmlaLink="$C$9" fmlaRange="$B$210:$B$212" noThreeD="1" sel="0" val="0"/>
</file>

<file path=xl/ctrlProps/ctrlProp321.xml><?xml version="1.0" encoding="utf-8"?>
<formControlPr xmlns="http://schemas.microsoft.com/office/spreadsheetml/2009/9/main" objectType="Drop" dropLines="4" dropStyle="combo" dx="16" fmlaLink="$H$220" fmlaRange="$B$210:$B$213" noThreeD="1" sel="4" val="0"/>
</file>

<file path=xl/ctrlProps/ctrlProp322.xml><?xml version="1.0" encoding="utf-8"?>
<formControlPr xmlns="http://schemas.microsoft.com/office/spreadsheetml/2009/9/main" objectType="Drop" dropLines="3" dropStyle="combo" dx="16" fmlaLink="$I$206" fmlaRange="$D$210:$D$212" noThreeD="1" sel="3" val="0"/>
</file>

<file path=xl/ctrlProps/ctrlProp323.xml><?xml version="1.0" encoding="utf-8"?>
<formControlPr xmlns="http://schemas.microsoft.com/office/spreadsheetml/2009/9/main" objectType="Drop" dropLines="3" dropStyle="combo" dx="16" fmlaLink="$I$206" fmlaRange="$D$210:$D$212" noThreeD="1" sel="3" val="0"/>
</file>

<file path=xl/ctrlProps/ctrlProp324.xml><?xml version="1.0" encoding="utf-8"?>
<formControlPr xmlns="http://schemas.microsoft.com/office/spreadsheetml/2009/9/main" objectType="Drop" dropLines="4" dropStyle="combo" dx="16" fmlaLink="$H$220:$I$220" fmlaRange="$B$210:$B$213" noThreeD="1" sel="4" val="0"/>
</file>

<file path=xl/ctrlProps/ctrlProp325.xml><?xml version="1.0" encoding="utf-8"?>
<formControlPr xmlns="http://schemas.microsoft.com/office/spreadsheetml/2009/9/main" objectType="Drop" dropLines="3" dropStyle="combo" dx="16" fmlaLink="$C$9" fmlaRange="$B$210:$B$212" noThreeD="1" sel="0" val="0"/>
</file>

<file path=xl/ctrlProps/ctrlProp326.xml><?xml version="1.0" encoding="utf-8"?>
<formControlPr xmlns="http://schemas.microsoft.com/office/spreadsheetml/2009/9/main" objectType="Drop" dropLines="4" dropStyle="combo" dx="16" fmlaLink="$H$220" fmlaRange="$B$210:$B$213" noThreeD="1" sel="4" val="0"/>
</file>

<file path=xl/ctrlProps/ctrlProp327.xml><?xml version="1.0" encoding="utf-8"?>
<formControlPr xmlns="http://schemas.microsoft.com/office/spreadsheetml/2009/9/main" objectType="Drop" dropLines="3" dropStyle="combo" dx="16" fmlaLink="$I$206" fmlaRange="$D$210:$D$212" noThreeD="1" sel="3" val="0"/>
</file>

<file path=xl/ctrlProps/ctrlProp328.xml><?xml version="1.0" encoding="utf-8"?>
<formControlPr xmlns="http://schemas.microsoft.com/office/spreadsheetml/2009/9/main" objectType="Drop" dropLines="3" dropStyle="combo" dx="16" fmlaLink="$I$206" fmlaRange="$D$210:$D$212" noThreeD="1" sel="3" val="0"/>
</file>

<file path=xl/ctrlProps/ctrlProp329.xml><?xml version="1.0" encoding="utf-8"?>
<formControlPr xmlns="http://schemas.microsoft.com/office/spreadsheetml/2009/9/main" objectType="Drop" dropLines="4" dropStyle="combo" dx="16" fmlaLink="$H$220:$I$220" fmlaRange="$B$210:$B$213" noThreeD="1" sel="4" val="0"/>
</file>

<file path=xl/ctrlProps/ctrlProp330.xml><?xml version="1.0" encoding="utf-8"?>
<formControlPr xmlns="http://schemas.microsoft.com/office/spreadsheetml/2009/9/main" objectType="Drop" dropLines="3" dropStyle="combo" dx="16" fmlaLink="$C$9" fmlaRange="$B$210:$B$212" noThreeD="1" sel="0" val="0"/>
</file>

<file path=xl/ctrlProps/ctrlProp331.xml><?xml version="1.0" encoding="utf-8"?>
<formControlPr xmlns="http://schemas.microsoft.com/office/spreadsheetml/2009/9/main" objectType="Drop" dropLines="4" dropStyle="combo" dx="16" fmlaLink="$H$220" fmlaRange="$B$210:$B$213" noThreeD="1" sel="4" val="0"/>
</file>

<file path=xl/ctrlProps/ctrlProp332.xml><?xml version="1.0" encoding="utf-8"?>
<formControlPr xmlns="http://schemas.microsoft.com/office/spreadsheetml/2009/9/main" objectType="Drop" dropLines="3" dropStyle="combo" dx="16" fmlaLink="$I$206" fmlaRange="$D$210:$D$212" noThreeD="1" sel="3" val="0"/>
</file>

<file path=xl/ctrlProps/ctrlProp333.xml><?xml version="1.0" encoding="utf-8"?>
<formControlPr xmlns="http://schemas.microsoft.com/office/spreadsheetml/2009/9/main" objectType="Drop" dropLines="3" dropStyle="combo" dx="16" fmlaLink="$I$206" fmlaRange="$D$210:$D$212" noThreeD="1" sel="3" val="0"/>
</file>

<file path=xl/ctrlProps/ctrlProp334.xml><?xml version="1.0" encoding="utf-8"?>
<formControlPr xmlns="http://schemas.microsoft.com/office/spreadsheetml/2009/9/main" objectType="Drop" dropLines="4" dropStyle="combo" dx="22" fmlaLink="$H$220:$I$220" fmlaRange="$B$210:$B$213" noThreeD="1" sel="4" val="0"/>
</file>

<file path=xl/ctrlProps/ctrlProp335.xml><?xml version="1.0" encoding="utf-8"?>
<formControlPr xmlns="http://schemas.microsoft.com/office/spreadsheetml/2009/9/main" objectType="Drop" dropLines="3" dropStyle="combo" dx="22" fmlaLink="$C$9" fmlaRange="$B$210:$B$212" noThreeD="1" sel="0" val="0"/>
</file>

<file path=xl/ctrlProps/ctrlProp336.xml><?xml version="1.0" encoding="utf-8"?>
<formControlPr xmlns="http://schemas.microsoft.com/office/spreadsheetml/2009/9/main" objectType="Drop" dropLines="4" dropStyle="combo" dx="22" fmlaLink="$H$220" fmlaRange="$B$210:$B$213" noThreeD="1" sel="4" val="0"/>
</file>

<file path=xl/ctrlProps/ctrlProp337.xml><?xml version="1.0" encoding="utf-8"?>
<formControlPr xmlns="http://schemas.microsoft.com/office/spreadsheetml/2009/9/main" objectType="Drop" dropLines="3" dropStyle="combo" dx="22" fmlaLink="$I$206" fmlaRange="$D$210:$D$212" noThreeD="1" sel="3" val="0"/>
</file>

<file path=xl/ctrlProps/ctrlProp338.xml><?xml version="1.0" encoding="utf-8"?>
<formControlPr xmlns="http://schemas.microsoft.com/office/spreadsheetml/2009/9/main" objectType="Drop" dropLines="3" dropStyle="combo" dx="22" fmlaLink="$I$206" fmlaRange="$D$210:$D$212" noThreeD="1" sel="3" val="0"/>
</file>

<file path=xl/ctrlProps/ctrlProp339.xml><?xml version="1.0" encoding="utf-8"?>
<formControlPr xmlns="http://schemas.microsoft.com/office/spreadsheetml/2009/9/main" objectType="Drop" dropLines="4" dropStyle="combo" dx="22" fmlaLink="$H$220:$I$220" fmlaRange="$B$210:$B$213" noThreeD="1" sel="4" val="0"/>
</file>

<file path=xl/ctrlProps/ctrlProp340.xml><?xml version="1.0" encoding="utf-8"?>
<formControlPr xmlns="http://schemas.microsoft.com/office/spreadsheetml/2009/9/main" objectType="Drop" dropLines="3" dropStyle="combo" dx="22" fmlaLink="$C$9" fmlaRange="$B$210:$B$212" noThreeD="1" sel="0" val="0"/>
</file>

<file path=xl/ctrlProps/ctrlProp341.xml><?xml version="1.0" encoding="utf-8"?>
<formControlPr xmlns="http://schemas.microsoft.com/office/spreadsheetml/2009/9/main" objectType="Drop" dropLines="4" dropStyle="combo" dx="22" fmlaLink="$H$220" fmlaRange="$B$210:$B$213" noThreeD="1" sel="4" val="0"/>
</file>

<file path=xl/ctrlProps/ctrlProp342.xml><?xml version="1.0" encoding="utf-8"?>
<formControlPr xmlns="http://schemas.microsoft.com/office/spreadsheetml/2009/9/main" objectType="Drop" dropLines="3" dropStyle="combo" dx="22" fmlaLink="$I$206" fmlaRange="$D$210:$D$212" noThreeD="1" sel="3" val="0"/>
</file>

<file path=xl/ctrlProps/ctrlProp343.xml><?xml version="1.0" encoding="utf-8"?>
<formControlPr xmlns="http://schemas.microsoft.com/office/spreadsheetml/2009/9/main" objectType="Drop" dropLines="3" dropStyle="combo" dx="22" fmlaLink="$I$206" fmlaRange="$D$210:$D$212" noThreeD="1" sel="3" val="0"/>
</file>

<file path=xl/ctrlProps/ctrlProp344.xml><?xml version="1.0" encoding="utf-8"?>
<formControlPr xmlns="http://schemas.microsoft.com/office/spreadsheetml/2009/9/main" objectType="Drop" dropLines="4" dropStyle="combo" dx="16" fmlaLink="$H$220:$I$220" fmlaRange="$B$210:$B$213" noThreeD="1" sel="4" val="0"/>
</file>

<file path=xl/ctrlProps/ctrlProp345.xml><?xml version="1.0" encoding="utf-8"?>
<formControlPr xmlns="http://schemas.microsoft.com/office/spreadsheetml/2009/9/main" objectType="Drop" dropLines="3" dropStyle="combo" dx="16" fmlaLink="$C$9" fmlaRange="$B$210:$B$212" noThreeD="1" sel="0" val="0"/>
</file>

<file path=xl/ctrlProps/ctrlProp346.xml><?xml version="1.0" encoding="utf-8"?>
<formControlPr xmlns="http://schemas.microsoft.com/office/spreadsheetml/2009/9/main" objectType="Drop" dropLines="4" dropStyle="combo" dx="16" fmlaLink="$H$220" fmlaRange="$B$210:$B$213" noThreeD="1" sel="4" val="0"/>
</file>

<file path=xl/ctrlProps/ctrlProp347.xml><?xml version="1.0" encoding="utf-8"?>
<formControlPr xmlns="http://schemas.microsoft.com/office/spreadsheetml/2009/9/main" objectType="Drop" dropLines="3" dropStyle="combo" dx="16" fmlaLink="$I$206" fmlaRange="$D$210:$D$212" noThreeD="1" sel="3" val="0"/>
</file>

<file path=xl/ctrlProps/ctrlProp348.xml><?xml version="1.0" encoding="utf-8"?>
<formControlPr xmlns="http://schemas.microsoft.com/office/spreadsheetml/2009/9/main" objectType="Drop" dropLines="3" dropStyle="combo" dx="16" fmlaLink="$I$206" fmlaRange="$D$210:$D$212" noThreeD="1" sel="3" val="0"/>
</file>

<file path=xl/ctrlProps/ctrlProp349.xml><?xml version="1.0" encoding="utf-8"?>
<formControlPr xmlns="http://schemas.microsoft.com/office/spreadsheetml/2009/9/main" objectType="Drop" dropLines="4" dropStyle="combo" dx="16" fmlaLink="$H$220:$I$220" fmlaRange="$B$210:$B$213" noThreeD="1" sel="4" val="0"/>
</file>

<file path=xl/ctrlProps/ctrlProp350.xml><?xml version="1.0" encoding="utf-8"?>
<formControlPr xmlns="http://schemas.microsoft.com/office/spreadsheetml/2009/9/main" objectType="Drop" dropLines="3" dropStyle="combo" dx="16" fmlaLink="$C$9" fmlaRange="$B$210:$B$212" noThreeD="1" sel="0" val="0"/>
</file>

<file path=xl/ctrlProps/ctrlProp351.xml><?xml version="1.0" encoding="utf-8"?>
<formControlPr xmlns="http://schemas.microsoft.com/office/spreadsheetml/2009/9/main" objectType="Drop" dropLines="4" dropStyle="combo" dx="16" fmlaLink="$H$220" fmlaRange="$B$210:$B$213" noThreeD="1" sel="4" val="0"/>
</file>

<file path=xl/ctrlProps/ctrlProp352.xml><?xml version="1.0" encoding="utf-8"?>
<formControlPr xmlns="http://schemas.microsoft.com/office/spreadsheetml/2009/9/main" objectType="Drop" dropLines="3" dropStyle="combo" dx="16" fmlaLink="$I$206" fmlaRange="$D$210:$D$212" noThreeD="1" sel="3" val="0"/>
</file>

<file path=xl/ctrlProps/ctrlProp353.xml><?xml version="1.0" encoding="utf-8"?>
<formControlPr xmlns="http://schemas.microsoft.com/office/spreadsheetml/2009/9/main" objectType="Drop" dropLines="3" dropStyle="combo" dx="16" fmlaLink="$I$206" fmlaRange="$D$210:$D$212" noThreeD="1" sel="3" val="0"/>
</file>

<file path=xl/ctrlProps/ctrlProp354.xml><?xml version="1.0" encoding="utf-8"?>
<formControlPr xmlns="http://schemas.microsoft.com/office/spreadsheetml/2009/9/main" objectType="Drop" dropLines="4" dropStyle="combo" dx="16" fmlaLink="$H$220:$I$220" fmlaRange="$B$210:$B$213" noThreeD="1" sel="4" val="0"/>
</file>

<file path=xl/ctrlProps/ctrlProp355.xml><?xml version="1.0" encoding="utf-8"?>
<formControlPr xmlns="http://schemas.microsoft.com/office/spreadsheetml/2009/9/main" objectType="Drop" dropLines="3" dropStyle="combo" dx="16" fmlaLink="$C$9" fmlaRange="$B$210:$B$212" noThreeD="1" sel="0" val="0"/>
</file>

<file path=xl/ctrlProps/ctrlProp356.xml><?xml version="1.0" encoding="utf-8"?>
<formControlPr xmlns="http://schemas.microsoft.com/office/spreadsheetml/2009/9/main" objectType="Drop" dropLines="4" dropStyle="combo" dx="16" fmlaLink="$H$220" fmlaRange="$B$210:$B$213" noThreeD="1" sel="4" val="0"/>
</file>

<file path=xl/ctrlProps/ctrlProp357.xml><?xml version="1.0" encoding="utf-8"?>
<formControlPr xmlns="http://schemas.microsoft.com/office/spreadsheetml/2009/9/main" objectType="Drop" dropLines="3" dropStyle="combo" dx="16" fmlaLink="$I$206" fmlaRange="$D$210:$D$212" noThreeD="1" sel="3" val="0"/>
</file>

<file path=xl/ctrlProps/ctrlProp358.xml><?xml version="1.0" encoding="utf-8"?>
<formControlPr xmlns="http://schemas.microsoft.com/office/spreadsheetml/2009/9/main" objectType="Drop" dropLines="3" dropStyle="combo" dx="16" fmlaLink="$I$206" fmlaRange="$D$210:$D$212" noThreeD="1" sel="3" val="0"/>
</file>

<file path=xl/ctrlProps/ctrlProp359.xml><?xml version="1.0" encoding="utf-8"?>
<formControlPr xmlns="http://schemas.microsoft.com/office/spreadsheetml/2009/9/main" objectType="Drop" dropLines="4" dropStyle="combo" dx="16" fmlaLink="$H$220:$I$220" fmlaRange="$B$210:$B$213" noThreeD="1" sel="4" val="0"/>
</file>

<file path=xl/ctrlProps/ctrlProp360.xml><?xml version="1.0" encoding="utf-8"?>
<formControlPr xmlns="http://schemas.microsoft.com/office/spreadsheetml/2009/9/main" objectType="Drop" dropLines="3" dropStyle="combo" dx="16" fmlaLink="$C$9" fmlaRange="$B$210:$B$212" noThreeD="1" sel="0" val="0"/>
</file>

<file path=xl/ctrlProps/ctrlProp361.xml><?xml version="1.0" encoding="utf-8"?>
<formControlPr xmlns="http://schemas.microsoft.com/office/spreadsheetml/2009/9/main" objectType="Drop" dropLines="4" dropStyle="combo" dx="16" fmlaLink="$H$220" fmlaRange="$B$210:$B$213" noThreeD="1" sel="4" val="0"/>
</file>

<file path=xl/ctrlProps/ctrlProp362.xml><?xml version="1.0" encoding="utf-8"?>
<formControlPr xmlns="http://schemas.microsoft.com/office/spreadsheetml/2009/9/main" objectType="Drop" dropLines="3" dropStyle="combo" dx="16" fmlaLink="$I$206" fmlaRange="$D$210:$D$212" noThreeD="1" sel="3" val="0"/>
</file>

<file path=xl/ctrlProps/ctrlProp363.xml><?xml version="1.0" encoding="utf-8"?>
<formControlPr xmlns="http://schemas.microsoft.com/office/spreadsheetml/2009/9/main" objectType="Drop" dropLines="3" dropStyle="combo" dx="16" fmlaLink="$I$206" fmlaRange="$D$210:$D$212" noThreeD="1" sel="3" val="0"/>
</file>

<file path=xl/ctrlProps/ctrlProp364.xml><?xml version="1.0" encoding="utf-8"?>
<formControlPr xmlns="http://schemas.microsoft.com/office/spreadsheetml/2009/9/main" objectType="Drop" dropLines="4" dropStyle="combo" dx="16" fmlaLink="$H$220:$I$220" fmlaRange="$B$210:$B$213" noThreeD="1" sel="4" val="0"/>
</file>

<file path=xl/ctrlProps/ctrlProp365.xml><?xml version="1.0" encoding="utf-8"?>
<formControlPr xmlns="http://schemas.microsoft.com/office/spreadsheetml/2009/9/main" objectType="Drop" dropLines="3" dropStyle="combo" dx="16" fmlaLink="$C$9" fmlaRange="$B$210:$B$212" noThreeD="1" sel="0" val="0"/>
</file>

<file path=xl/ctrlProps/ctrlProp366.xml><?xml version="1.0" encoding="utf-8"?>
<formControlPr xmlns="http://schemas.microsoft.com/office/spreadsheetml/2009/9/main" objectType="Drop" dropLines="4" dropStyle="combo" dx="16" fmlaLink="$H$220" fmlaRange="$B$210:$B$213" noThreeD="1" sel="4" val="0"/>
</file>

<file path=xl/ctrlProps/ctrlProp367.xml><?xml version="1.0" encoding="utf-8"?>
<formControlPr xmlns="http://schemas.microsoft.com/office/spreadsheetml/2009/9/main" objectType="Drop" dropLines="3" dropStyle="combo" dx="16" fmlaLink="$I$206" fmlaRange="$D$210:$D$212" noThreeD="1" sel="3" val="0"/>
</file>

<file path=xl/ctrlProps/ctrlProp368.xml><?xml version="1.0" encoding="utf-8"?>
<formControlPr xmlns="http://schemas.microsoft.com/office/spreadsheetml/2009/9/main" objectType="Drop" dropLines="3" dropStyle="combo" dx="16" fmlaLink="$I$206" fmlaRange="$D$210:$D$212" noThreeD="1" sel="3" val="0"/>
</file>

<file path=xl/ctrlProps/ctrlProp369.xml><?xml version="1.0" encoding="utf-8"?>
<formControlPr xmlns="http://schemas.microsoft.com/office/spreadsheetml/2009/9/main" objectType="Drop" dropLines="4" dropStyle="combo" dx="16" fmlaLink="$H$220:$I$220" fmlaRange="$B$210:$B$213" noThreeD="1" sel="4" val="0"/>
</file>

<file path=xl/ctrlProps/ctrlProp370.xml><?xml version="1.0" encoding="utf-8"?>
<formControlPr xmlns="http://schemas.microsoft.com/office/spreadsheetml/2009/9/main" objectType="Drop" dropLines="3" dropStyle="combo" dx="16" fmlaLink="$C$9" fmlaRange="$B$210:$B$212" noThreeD="1" sel="0" val="0"/>
</file>

<file path=xl/ctrlProps/ctrlProp371.xml><?xml version="1.0" encoding="utf-8"?>
<formControlPr xmlns="http://schemas.microsoft.com/office/spreadsheetml/2009/9/main" objectType="Drop" dropLines="4" dropStyle="combo" dx="16" fmlaLink="$H$220" fmlaRange="$B$210:$B$213" noThreeD="1" sel="4" val="0"/>
</file>

<file path=xl/ctrlProps/ctrlProp372.xml><?xml version="1.0" encoding="utf-8"?>
<formControlPr xmlns="http://schemas.microsoft.com/office/spreadsheetml/2009/9/main" objectType="Drop" dropLines="3" dropStyle="combo" dx="16" fmlaLink="$I$206" fmlaRange="$D$210:$D$212" noThreeD="1" sel="3" val="0"/>
</file>

<file path=xl/ctrlProps/ctrlProp373.xml><?xml version="1.0" encoding="utf-8"?>
<formControlPr xmlns="http://schemas.microsoft.com/office/spreadsheetml/2009/9/main" objectType="Drop" dropLines="3" dropStyle="combo" dx="16" fmlaLink="$I$206" fmlaRange="$D$210:$D$212" noThreeD="1" sel="3" val="0"/>
</file>

<file path=xl/ctrlProps/ctrlProp374.xml><?xml version="1.0" encoding="utf-8"?>
<formControlPr xmlns="http://schemas.microsoft.com/office/spreadsheetml/2009/9/main" objectType="Drop" dropLines="4" dropStyle="combo" dx="16" fmlaLink="$H$220:$I$220" fmlaRange="$B$210:$B$213" noThreeD="1" sel="4" val="0"/>
</file>

<file path=xl/ctrlProps/ctrlProp375.xml><?xml version="1.0" encoding="utf-8"?>
<formControlPr xmlns="http://schemas.microsoft.com/office/spreadsheetml/2009/9/main" objectType="Drop" dropLines="3" dropStyle="combo" dx="16" fmlaLink="$C$9" fmlaRange="$B$210:$B$212" noThreeD="1" sel="0" val="0"/>
</file>

<file path=xl/ctrlProps/ctrlProp376.xml><?xml version="1.0" encoding="utf-8"?>
<formControlPr xmlns="http://schemas.microsoft.com/office/spreadsheetml/2009/9/main" objectType="Drop" dropLines="4" dropStyle="combo" dx="16" fmlaLink="$H$220" fmlaRange="$B$210:$B$213" noThreeD="1" sel="4" val="0"/>
</file>

<file path=xl/ctrlProps/ctrlProp377.xml><?xml version="1.0" encoding="utf-8"?>
<formControlPr xmlns="http://schemas.microsoft.com/office/spreadsheetml/2009/9/main" objectType="Drop" dropLines="3" dropStyle="combo" dx="16" fmlaLink="$I$206" fmlaRange="$D$210:$D$212" noThreeD="1" sel="3" val="0"/>
</file>

<file path=xl/ctrlProps/ctrlProp378.xml><?xml version="1.0" encoding="utf-8"?>
<formControlPr xmlns="http://schemas.microsoft.com/office/spreadsheetml/2009/9/main" objectType="Drop" dropLines="3" dropStyle="combo" dx="16" fmlaLink="$I$206" fmlaRange="$D$210:$D$212" noThreeD="1" sel="3" val="0"/>
</file>

<file path=xl/ctrlProps/ctrlProp379.xml><?xml version="1.0" encoding="utf-8"?>
<formControlPr xmlns="http://schemas.microsoft.com/office/spreadsheetml/2009/9/main" objectType="Drop" dropLines="4" dropStyle="combo" dx="16" fmlaLink="$H$220:$I$220" fmlaRange="$B$210:$B$213" noThreeD="1" sel="4" val="0"/>
</file>

<file path=xl/ctrlProps/ctrlProp380.xml><?xml version="1.0" encoding="utf-8"?>
<formControlPr xmlns="http://schemas.microsoft.com/office/spreadsheetml/2009/9/main" objectType="Drop" dropLines="3" dropStyle="combo" dx="16" fmlaLink="$C$9" fmlaRange="$B$210:$B$212" noThreeD="1" sel="0" val="0"/>
</file>

<file path=xl/ctrlProps/ctrlProp381.xml><?xml version="1.0" encoding="utf-8"?>
<formControlPr xmlns="http://schemas.microsoft.com/office/spreadsheetml/2009/9/main" objectType="Drop" dropLines="4" dropStyle="combo" dx="16" fmlaLink="$H$220" fmlaRange="$B$210:$B$213" noThreeD="1" sel="4" val="0"/>
</file>

<file path=xl/ctrlProps/ctrlProp382.xml><?xml version="1.0" encoding="utf-8"?>
<formControlPr xmlns="http://schemas.microsoft.com/office/spreadsheetml/2009/9/main" objectType="Drop" dropLines="3" dropStyle="combo" dx="16" fmlaLink="$I$206" fmlaRange="$D$210:$D$212" noThreeD="1" sel="3" val="0"/>
</file>

<file path=xl/ctrlProps/ctrlProp383.xml><?xml version="1.0" encoding="utf-8"?>
<formControlPr xmlns="http://schemas.microsoft.com/office/spreadsheetml/2009/9/main" objectType="Drop" dropLines="3" dropStyle="combo" dx="16" fmlaLink="$I$206" fmlaRange="$D$210:$D$212" noThreeD="1" sel="3" val="0"/>
</file>

<file path=xl/ctrlProps/ctrlProp384.xml><?xml version="1.0" encoding="utf-8"?>
<formControlPr xmlns="http://schemas.microsoft.com/office/spreadsheetml/2009/9/main" objectType="Drop" dropLines="4" dropStyle="combo" dx="16" fmlaLink="$H$220:$I$220" fmlaRange="$B$210:$B$213" noThreeD="1" sel="4" val="0"/>
</file>

<file path=xl/ctrlProps/ctrlProp385.xml><?xml version="1.0" encoding="utf-8"?>
<formControlPr xmlns="http://schemas.microsoft.com/office/spreadsheetml/2009/9/main" objectType="Drop" dropLines="3" dropStyle="combo" dx="16" fmlaLink="$C$9" fmlaRange="$B$210:$B$212" noThreeD="1" sel="0" val="0"/>
</file>

<file path=xl/ctrlProps/ctrlProp386.xml><?xml version="1.0" encoding="utf-8"?>
<formControlPr xmlns="http://schemas.microsoft.com/office/spreadsheetml/2009/9/main" objectType="Drop" dropLines="4" dropStyle="combo" dx="16" fmlaLink="$H$220" fmlaRange="$B$210:$B$213" noThreeD="1" sel="4" val="0"/>
</file>

<file path=xl/ctrlProps/ctrlProp387.xml><?xml version="1.0" encoding="utf-8"?>
<formControlPr xmlns="http://schemas.microsoft.com/office/spreadsheetml/2009/9/main" objectType="Drop" dropLines="3" dropStyle="combo" dx="16" fmlaLink="$I$206" fmlaRange="$D$210:$D$212" noThreeD="1" sel="3" val="0"/>
</file>

<file path=xl/ctrlProps/ctrlProp388.xml><?xml version="1.0" encoding="utf-8"?>
<formControlPr xmlns="http://schemas.microsoft.com/office/spreadsheetml/2009/9/main" objectType="Drop" dropLines="3" dropStyle="combo" dx="16" fmlaLink="$I$206" fmlaRange="$D$210:$D$212" noThreeD="1" sel="3" val="0"/>
</file>

<file path=xl/ctrlProps/ctrlProp389.xml><?xml version="1.0" encoding="utf-8"?>
<formControlPr xmlns="http://schemas.microsoft.com/office/spreadsheetml/2009/9/main" objectType="Drop" dropLines="4" dropStyle="combo" dx="16" fmlaLink="$H$220:$I$220" fmlaRange="$B$210:$B$213" noThreeD="1" sel="4" val="0"/>
</file>

<file path=xl/ctrlProps/ctrlProp390.xml><?xml version="1.0" encoding="utf-8"?>
<formControlPr xmlns="http://schemas.microsoft.com/office/spreadsheetml/2009/9/main" objectType="Drop" dropLines="3" dropStyle="combo" dx="16" fmlaLink="$C$9" fmlaRange="$B$210:$B$212" noThreeD="1" sel="0" val="0"/>
</file>

<file path=xl/ctrlProps/ctrlProp391.xml><?xml version="1.0" encoding="utf-8"?>
<formControlPr xmlns="http://schemas.microsoft.com/office/spreadsheetml/2009/9/main" objectType="Drop" dropLines="4" dropStyle="combo" dx="16" fmlaLink="$H$220" fmlaRange="$B$210:$B$213" noThreeD="1" sel="4" val="0"/>
</file>

<file path=xl/ctrlProps/ctrlProp392.xml><?xml version="1.0" encoding="utf-8"?>
<formControlPr xmlns="http://schemas.microsoft.com/office/spreadsheetml/2009/9/main" objectType="Drop" dropLines="3" dropStyle="combo" dx="16" fmlaLink="$I$206" fmlaRange="$D$210:$D$212" noThreeD="1" sel="3" val="0"/>
</file>

<file path=xl/ctrlProps/ctrlProp393.xml><?xml version="1.0" encoding="utf-8"?>
<formControlPr xmlns="http://schemas.microsoft.com/office/spreadsheetml/2009/9/main" objectType="Drop" dropLines="3" dropStyle="combo" dx="16" fmlaLink="$I$206" fmlaRange="$D$210:$D$212" noThreeD="1" sel="3" val="0"/>
</file>

<file path=xl/ctrlProps/ctrlProp394.xml><?xml version="1.0" encoding="utf-8"?>
<formControlPr xmlns="http://schemas.microsoft.com/office/spreadsheetml/2009/9/main" objectType="Drop" dropLines="4" dropStyle="combo" dx="16" fmlaLink="$H$220:$I$220" fmlaRange="$B$210:$B$213" noThreeD="1" sel="4" val="0"/>
</file>

<file path=xl/ctrlProps/ctrlProp395.xml><?xml version="1.0" encoding="utf-8"?>
<formControlPr xmlns="http://schemas.microsoft.com/office/spreadsheetml/2009/9/main" objectType="Drop" dropLines="3" dropStyle="combo" dx="16" fmlaLink="$C$9" fmlaRange="$B$210:$B$212" noThreeD="1" sel="0" val="0"/>
</file>

<file path=xl/ctrlProps/ctrlProp396.xml><?xml version="1.0" encoding="utf-8"?>
<formControlPr xmlns="http://schemas.microsoft.com/office/spreadsheetml/2009/9/main" objectType="Drop" dropLines="4" dropStyle="combo" dx="16" fmlaLink="$H$220" fmlaRange="$B$210:$B$213" noThreeD="1" sel="4" val="0"/>
</file>

<file path=xl/ctrlProps/ctrlProp397.xml><?xml version="1.0" encoding="utf-8"?>
<formControlPr xmlns="http://schemas.microsoft.com/office/spreadsheetml/2009/9/main" objectType="Drop" dropLines="3" dropStyle="combo" dx="16" fmlaLink="$I$206" fmlaRange="$D$210:$D$212" noThreeD="1" sel="3" val="0"/>
</file>

<file path=xl/ctrlProps/ctrlProp398.xml><?xml version="1.0" encoding="utf-8"?>
<formControlPr xmlns="http://schemas.microsoft.com/office/spreadsheetml/2009/9/main" objectType="Drop" dropLines="3" dropStyle="combo" dx="16" fmlaLink="$I$206" fmlaRange="$D$210:$D$212" noThreeD="1" sel="3" val="0"/>
</file>

<file path=xl/ctrlProps/ctrlProp399.xml><?xml version="1.0" encoding="utf-8"?>
<formControlPr xmlns="http://schemas.microsoft.com/office/spreadsheetml/2009/9/main" objectType="Drop" dropLines="4" dropStyle="combo" dx="16" fmlaLink="$H$220:$I$220" fmlaRange="$B$210:$B$213" noThreeD="1" sel="4" val="0"/>
</file>

<file path=xl/ctrlProps/ctrlProp400.xml><?xml version="1.0" encoding="utf-8"?>
<formControlPr xmlns="http://schemas.microsoft.com/office/spreadsheetml/2009/9/main" objectType="Drop" dropLines="3" dropStyle="combo" dx="16" fmlaLink="$C$9" fmlaRange="$B$210:$B$212" noThreeD="1" sel="0" val="0"/>
</file>

<file path=xl/ctrlProps/ctrlProp401.xml><?xml version="1.0" encoding="utf-8"?>
<formControlPr xmlns="http://schemas.microsoft.com/office/spreadsheetml/2009/9/main" objectType="Drop" dropLines="4" dropStyle="combo" dx="16" fmlaLink="$H$220" fmlaRange="$B$210:$B$213" noThreeD="1" sel="4" val="0"/>
</file>

<file path=xl/ctrlProps/ctrlProp402.xml><?xml version="1.0" encoding="utf-8"?>
<formControlPr xmlns="http://schemas.microsoft.com/office/spreadsheetml/2009/9/main" objectType="Drop" dropLines="3" dropStyle="combo" dx="16" fmlaLink="$I$206" fmlaRange="$D$210:$D$212" noThreeD="1" sel="3" val="0"/>
</file>

<file path=xl/ctrlProps/ctrlProp403.xml><?xml version="1.0" encoding="utf-8"?>
<formControlPr xmlns="http://schemas.microsoft.com/office/spreadsheetml/2009/9/main" objectType="Drop" dropLines="3" dropStyle="combo" dx="16" fmlaLink="$I$206" fmlaRange="$D$210:$D$212" noThreeD="1" sel="3" val="0"/>
</file>

<file path=xl/ctrlProps/ctrlProp404.xml><?xml version="1.0" encoding="utf-8"?>
<formControlPr xmlns="http://schemas.microsoft.com/office/spreadsheetml/2009/9/main" objectType="Drop" dropLines="4" dropStyle="combo" dx="16" fmlaLink="$H$220:$I$220" fmlaRange="$B$210:$B$213" noThreeD="1" sel="4" val="0"/>
</file>

<file path=xl/ctrlProps/ctrlProp405.xml><?xml version="1.0" encoding="utf-8"?>
<formControlPr xmlns="http://schemas.microsoft.com/office/spreadsheetml/2009/9/main" objectType="Drop" dropLines="3" dropStyle="combo" dx="16" fmlaLink="$C$9" fmlaRange="$B$210:$B$212" noThreeD="1" sel="0" val="0"/>
</file>

<file path=xl/ctrlProps/ctrlProp406.xml><?xml version="1.0" encoding="utf-8"?>
<formControlPr xmlns="http://schemas.microsoft.com/office/spreadsheetml/2009/9/main" objectType="Drop" dropLines="4" dropStyle="combo" dx="16" fmlaLink="$H$220" fmlaRange="$B$210:$B$213" noThreeD="1" sel="4" val="0"/>
</file>

<file path=xl/ctrlProps/ctrlProp407.xml><?xml version="1.0" encoding="utf-8"?>
<formControlPr xmlns="http://schemas.microsoft.com/office/spreadsheetml/2009/9/main" objectType="Drop" dropLines="3" dropStyle="combo" dx="16" fmlaLink="$I$206" fmlaRange="$D$210:$D$212" noThreeD="1" sel="3" val="0"/>
</file>

<file path=xl/ctrlProps/ctrlProp408.xml><?xml version="1.0" encoding="utf-8"?>
<formControlPr xmlns="http://schemas.microsoft.com/office/spreadsheetml/2009/9/main" objectType="Drop" dropLines="3" dropStyle="combo" dx="16" fmlaLink="$I$206" fmlaRange="$D$210:$D$212" noThreeD="1" sel="3" val="0"/>
</file>

<file path=xl/ctrlProps/ctrlProp409.xml><?xml version="1.0" encoding="utf-8"?>
<formControlPr xmlns="http://schemas.microsoft.com/office/spreadsheetml/2009/9/main" objectType="Drop" dropLines="4" dropStyle="combo" dx="16" fmlaLink="$H$220:$I$220" fmlaRange="$B$210:$B$213" noThreeD="1" sel="4" val="0"/>
</file>

<file path=xl/ctrlProps/ctrlProp410.xml><?xml version="1.0" encoding="utf-8"?>
<formControlPr xmlns="http://schemas.microsoft.com/office/spreadsheetml/2009/9/main" objectType="Drop" dropLines="4" dropStyle="combo" dx="16" fmlaLink="$H$220:$I$220" fmlaRange="$B$210:$B$213" noThreeD="1" sel="4" val="0"/>
</file>

<file path=xl/ctrlProps/ctrlProp411.xml><?xml version="1.0" encoding="utf-8"?>
<formControlPr xmlns="http://schemas.microsoft.com/office/spreadsheetml/2009/9/main" objectType="Drop" dropLines="3" dropStyle="combo" dx="16" fmlaLink="$C$9" fmlaRange="$B$210:$B$212" noThreeD="1" sel="0" val="0"/>
</file>

<file path=xl/ctrlProps/ctrlProp412.xml><?xml version="1.0" encoding="utf-8"?>
<formControlPr xmlns="http://schemas.microsoft.com/office/spreadsheetml/2009/9/main" objectType="Drop" dropLines="4" dropStyle="combo" dx="16" fmlaLink="$H$220" fmlaRange="$B$210:$B$213" noThreeD="1" sel="4" val="0"/>
</file>

<file path=xl/ctrlProps/ctrlProp413.xml><?xml version="1.0" encoding="utf-8"?>
<formControlPr xmlns="http://schemas.microsoft.com/office/spreadsheetml/2009/9/main" objectType="Drop" dropLines="3" dropStyle="combo" dx="16" fmlaLink="$I$206" fmlaRange="$D$210:$D$212" noThreeD="1" sel="3" val="0"/>
</file>

<file path=xl/ctrlProps/ctrlProp414.xml><?xml version="1.0" encoding="utf-8"?>
<formControlPr xmlns="http://schemas.microsoft.com/office/spreadsheetml/2009/9/main" objectType="Drop" dropLines="3" dropStyle="combo" dx="16" fmlaLink="$I$206" fmlaRange="$D$210:$D$212" noThreeD="1" sel="3" val="0"/>
</file>

<file path=xl/ctrlProps/ctrlProp415.xml><?xml version="1.0" encoding="utf-8"?>
<formControlPr xmlns="http://schemas.microsoft.com/office/spreadsheetml/2009/9/main" objectType="Drop" dropLines="4" dropStyle="combo" dx="16" fmlaLink="$H$220:$I$220" fmlaRange="$B$210:$B$213" noThreeD="1" sel="4" val="0"/>
</file>

<file path=xl/ctrlProps/ctrlProp416.xml><?xml version="1.0" encoding="utf-8"?>
<formControlPr xmlns="http://schemas.microsoft.com/office/spreadsheetml/2009/9/main" objectType="Drop" dropLines="4" dropStyle="combo" dx="16" fmlaLink="$H$220:$I$220" fmlaRange="$B$210:$B$213" noThreeD="1" sel="4" val="0"/>
</file>

<file path=xl/ctrlProps/ctrlProp417.xml><?xml version="1.0" encoding="utf-8"?>
<formControlPr xmlns="http://schemas.microsoft.com/office/spreadsheetml/2009/9/main" objectType="Drop" dropLines="3" dropStyle="combo" dx="16" fmlaLink="$C$9" fmlaRange="$B$210:$B$212" noThreeD="1" sel="0" val="0"/>
</file>

<file path=xl/ctrlProps/ctrlProp418.xml><?xml version="1.0" encoding="utf-8"?>
<formControlPr xmlns="http://schemas.microsoft.com/office/spreadsheetml/2009/9/main" objectType="Drop" dropLines="4" dropStyle="combo" dx="16" fmlaLink="$H$220" fmlaRange="$B$210:$B$213" noThreeD="1" sel="4" val="0"/>
</file>

<file path=xl/ctrlProps/ctrlProp419.xml><?xml version="1.0" encoding="utf-8"?>
<formControlPr xmlns="http://schemas.microsoft.com/office/spreadsheetml/2009/9/main" objectType="Drop" dropLines="3" dropStyle="combo" dx="16" fmlaLink="$I$206" fmlaRange="$D$210:$D$212" noThreeD="1" sel="3" val="0"/>
</file>

<file path=xl/ctrlProps/ctrlProp420.xml><?xml version="1.0" encoding="utf-8"?>
<formControlPr xmlns="http://schemas.microsoft.com/office/spreadsheetml/2009/9/main" objectType="Drop" dropLines="3" dropStyle="combo" dx="16" fmlaLink="$I$206" fmlaRange="$D$210:$D$212" noThreeD="1" sel="3" val="0"/>
</file>

<file path=xl/ctrlProps/ctrlProp421.xml><?xml version="1.0" encoding="utf-8"?>
<formControlPr xmlns="http://schemas.microsoft.com/office/spreadsheetml/2009/9/main" objectType="Drop" dropLines="4" dropStyle="combo" dx="16" fmlaLink="$H$220:$I$220" fmlaRange="$B$210:$B$213" noThreeD="1" sel="4" val="0"/>
</file>

<file path=xl/ctrlProps/ctrlProp422.xml><?xml version="1.0" encoding="utf-8"?>
<formControlPr xmlns="http://schemas.microsoft.com/office/spreadsheetml/2009/9/main" objectType="Drop" dropLines="4" dropStyle="combo" dx="16" fmlaLink="$H$220:$I$220" fmlaRange="$B$210:$B$213" noThreeD="1" sel="4" val="0"/>
</file>

<file path=xl/ctrlProps/ctrlProp423.xml><?xml version="1.0" encoding="utf-8"?>
<formControlPr xmlns="http://schemas.microsoft.com/office/spreadsheetml/2009/9/main" objectType="Drop" dropLines="3" dropStyle="combo" dx="16" fmlaLink="$C$9" fmlaRange="$B$210:$B$212" noThreeD="1" sel="0" val="0"/>
</file>

<file path=xl/ctrlProps/ctrlProp424.xml><?xml version="1.0" encoding="utf-8"?>
<formControlPr xmlns="http://schemas.microsoft.com/office/spreadsheetml/2009/9/main" objectType="Drop" dropLines="4" dropStyle="combo" dx="16" fmlaLink="$H$220" fmlaRange="$B$210:$B$213" noThreeD="1" sel="4" val="0"/>
</file>

<file path=xl/ctrlProps/ctrlProp425.xml><?xml version="1.0" encoding="utf-8"?>
<formControlPr xmlns="http://schemas.microsoft.com/office/spreadsheetml/2009/9/main" objectType="Drop" dropLines="3" dropStyle="combo" dx="16" fmlaLink="$I$206" fmlaRange="$D$210:$D$212" noThreeD="1" sel="3" val="0"/>
</file>

<file path=xl/ctrlProps/ctrlProp426.xml><?xml version="1.0" encoding="utf-8"?>
<formControlPr xmlns="http://schemas.microsoft.com/office/spreadsheetml/2009/9/main" objectType="Drop" dropLines="3" dropStyle="combo" dx="16" fmlaLink="$I$206" fmlaRange="$D$210:$D$212" noThreeD="1" sel="3" val="0"/>
</file>

<file path=xl/ctrlProps/ctrlProp427.xml><?xml version="1.0" encoding="utf-8"?>
<formControlPr xmlns="http://schemas.microsoft.com/office/spreadsheetml/2009/9/main" objectType="Drop" dropLines="4" dropStyle="combo" dx="16" fmlaLink="$H$220:$I$220" fmlaRange="$B$210:$B$213" noThreeD="1" sel="4" val="0"/>
</file>

<file path=xl/ctrlProps/ctrlProp428.xml><?xml version="1.0" encoding="utf-8"?>
<formControlPr xmlns="http://schemas.microsoft.com/office/spreadsheetml/2009/9/main" objectType="Drop" dropLines="4" dropStyle="combo" dx="16" fmlaLink="$H$220:$I$220" fmlaRange="$B$210:$B$213" noThreeD="1" sel="4" val="0"/>
</file>

<file path=xl/ctrlProps/ctrlProp429.xml><?xml version="1.0" encoding="utf-8"?>
<formControlPr xmlns="http://schemas.microsoft.com/office/spreadsheetml/2009/9/main" objectType="Drop" dropLines="3" dropStyle="combo" dx="16" fmlaLink="$C$9" fmlaRange="$B$210:$B$212" noThreeD="1" sel="0" val="0"/>
</file>

<file path=xl/ctrlProps/ctrlProp430.xml><?xml version="1.0" encoding="utf-8"?>
<formControlPr xmlns="http://schemas.microsoft.com/office/spreadsheetml/2009/9/main" objectType="Drop" dropLines="4" dropStyle="combo" dx="16" fmlaLink="$H$220" fmlaRange="$B$210:$B$213" noThreeD="1" sel="4" val="0"/>
</file>

<file path=xl/ctrlProps/ctrlProp431.xml><?xml version="1.0" encoding="utf-8"?>
<formControlPr xmlns="http://schemas.microsoft.com/office/spreadsheetml/2009/9/main" objectType="Drop" dropLines="3" dropStyle="combo" dx="16" fmlaLink="$I$206" fmlaRange="$D$210:$D$212" noThreeD="1" sel="3" val="0"/>
</file>

<file path=xl/ctrlProps/ctrlProp432.xml><?xml version="1.0" encoding="utf-8"?>
<formControlPr xmlns="http://schemas.microsoft.com/office/spreadsheetml/2009/9/main" objectType="Drop" dropLines="3" dropStyle="combo" dx="16" fmlaLink="$I$206" fmlaRange="$D$210:$D$212" noThreeD="1" sel="3" val="0"/>
</file>

<file path=xl/ctrlProps/ctrlProp433.xml><?xml version="1.0" encoding="utf-8"?>
<formControlPr xmlns="http://schemas.microsoft.com/office/spreadsheetml/2009/9/main" objectType="Drop" dropLines="4" dropStyle="combo" dx="16" fmlaLink="$H$220:$I$220" fmlaRange="$B$210:$B$213" noThreeD="1" sel="4" val="0"/>
</file>

<file path=xl/ctrlProps/ctrlProp434.xml><?xml version="1.0" encoding="utf-8"?>
<formControlPr xmlns="http://schemas.microsoft.com/office/spreadsheetml/2009/9/main" objectType="Drop" dropLines="4" dropStyle="combo" dx="16" fmlaLink="$H$220:$I$220" fmlaRange="$B$210:$B$213" noThreeD="1" sel="4" val="0"/>
</file>

<file path=xl/ctrlProps/ctrlProp435.xml><?xml version="1.0" encoding="utf-8"?>
<formControlPr xmlns="http://schemas.microsoft.com/office/spreadsheetml/2009/9/main" objectType="Drop" dropLines="3" dropStyle="combo" dx="16" fmlaLink="$C$9" fmlaRange="$B$210:$B$212" noThreeD="1" sel="0" val="0"/>
</file>

<file path=xl/ctrlProps/ctrlProp436.xml><?xml version="1.0" encoding="utf-8"?>
<formControlPr xmlns="http://schemas.microsoft.com/office/spreadsheetml/2009/9/main" objectType="Drop" dropLines="4" dropStyle="combo" dx="16" fmlaLink="$H$220" fmlaRange="$B$210:$B$213" noThreeD="1" sel="4" val="0"/>
</file>

<file path=xl/ctrlProps/ctrlProp437.xml><?xml version="1.0" encoding="utf-8"?>
<formControlPr xmlns="http://schemas.microsoft.com/office/spreadsheetml/2009/9/main" objectType="Drop" dropLines="3" dropStyle="combo" dx="16" fmlaLink="$I$206" fmlaRange="$D$210:$D$212" noThreeD="1" sel="3" val="0"/>
</file>

<file path=xl/ctrlProps/ctrlProp438.xml><?xml version="1.0" encoding="utf-8"?>
<formControlPr xmlns="http://schemas.microsoft.com/office/spreadsheetml/2009/9/main" objectType="Drop" dropLines="3" dropStyle="combo" dx="16" fmlaLink="$I$206" fmlaRange="$D$210:$D$212" noThreeD="1" sel="3" val="0"/>
</file>

<file path=xl/ctrlProps/ctrlProp439.xml><?xml version="1.0" encoding="utf-8"?>
<formControlPr xmlns="http://schemas.microsoft.com/office/spreadsheetml/2009/9/main" objectType="Drop" dropLines="4" dropStyle="combo" dx="16" fmlaLink="$H$220:$I$220" fmlaRange="$B$210:$B$213" noThreeD="1" sel="4" val="0"/>
</file>

<file path=xl/ctrlProps/ctrlProp440.xml><?xml version="1.0" encoding="utf-8"?>
<formControlPr xmlns="http://schemas.microsoft.com/office/spreadsheetml/2009/9/main" objectType="Drop" dropLines="4" dropStyle="combo" dx="16" fmlaLink="$H$220:$I$220" fmlaRange="$B$210:$B$213" noThreeD="1" sel="4" val="0"/>
</file>

<file path=xl/ctrlProps/ctrlProp441.xml><?xml version="1.0" encoding="utf-8"?>
<formControlPr xmlns="http://schemas.microsoft.com/office/spreadsheetml/2009/9/main" objectType="Drop" dropLines="3" dropStyle="combo" dx="16" fmlaLink="$C$9" fmlaRange="$B$210:$B$212" noThreeD="1" sel="0" val="0"/>
</file>

<file path=xl/ctrlProps/ctrlProp442.xml><?xml version="1.0" encoding="utf-8"?>
<formControlPr xmlns="http://schemas.microsoft.com/office/spreadsheetml/2009/9/main" objectType="Drop" dropLines="4" dropStyle="combo" dx="16" fmlaLink="$H$220" fmlaRange="$B$210:$B$213" noThreeD="1" sel="4" val="0"/>
</file>

<file path=xl/ctrlProps/ctrlProp443.xml><?xml version="1.0" encoding="utf-8"?>
<formControlPr xmlns="http://schemas.microsoft.com/office/spreadsheetml/2009/9/main" objectType="Drop" dropLines="3" dropStyle="combo" dx="16" fmlaLink="$I$206" fmlaRange="$D$210:$D$212" noThreeD="1" sel="3" val="0"/>
</file>

<file path=xl/ctrlProps/ctrlProp444.xml><?xml version="1.0" encoding="utf-8"?>
<formControlPr xmlns="http://schemas.microsoft.com/office/spreadsheetml/2009/9/main" objectType="Drop" dropLines="3" dropStyle="combo" dx="16" fmlaLink="$I$206" fmlaRange="$D$210:$D$212" noThreeD="1" sel="3" val="0"/>
</file>

<file path=xl/ctrlProps/ctrlProp445.xml><?xml version="1.0" encoding="utf-8"?>
<formControlPr xmlns="http://schemas.microsoft.com/office/spreadsheetml/2009/9/main" objectType="Drop" dropLines="4" dropStyle="combo" dx="16" fmlaLink="$H$220:$I$220" fmlaRange="$B$210:$B$213" noThreeD="1" sel="4" val="0"/>
</file>

<file path=xl/ctrlProps/ctrlProp446.xml><?xml version="1.0" encoding="utf-8"?>
<formControlPr xmlns="http://schemas.microsoft.com/office/spreadsheetml/2009/9/main" objectType="Drop" dropLines="4" dropStyle="combo" dx="16" fmlaLink="$H$220:$I$220" fmlaRange="$B$210:$B$213" noThreeD="1" sel="4" val="0"/>
</file>

<file path=xl/ctrlProps/ctrlProp447.xml><?xml version="1.0" encoding="utf-8"?>
<formControlPr xmlns="http://schemas.microsoft.com/office/spreadsheetml/2009/9/main" objectType="Drop" dropLines="3" dropStyle="combo" dx="16" fmlaLink="$C$9" fmlaRange="$B$210:$B$212" noThreeD="1" sel="0" val="0"/>
</file>

<file path=xl/ctrlProps/ctrlProp448.xml><?xml version="1.0" encoding="utf-8"?>
<formControlPr xmlns="http://schemas.microsoft.com/office/spreadsheetml/2009/9/main" objectType="Drop" dropLines="4" dropStyle="combo" dx="16" fmlaLink="$H$220" fmlaRange="$B$210:$B$213" noThreeD="1" sel="4" val="0"/>
</file>

<file path=xl/ctrlProps/ctrlProp449.xml><?xml version="1.0" encoding="utf-8"?>
<formControlPr xmlns="http://schemas.microsoft.com/office/spreadsheetml/2009/9/main" objectType="Drop" dropLines="3" dropStyle="combo" dx="16" fmlaLink="$I$206" fmlaRange="$D$210:$D$212" noThreeD="1" sel="3" val="0"/>
</file>

<file path=xl/ctrlProps/ctrlProp450.xml><?xml version="1.0" encoding="utf-8"?>
<formControlPr xmlns="http://schemas.microsoft.com/office/spreadsheetml/2009/9/main" objectType="Drop" dropLines="3" dropStyle="combo" dx="16" fmlaLink="$I$206" fmlaRange="$D$210:$D$212" noThreeD="1" sel="3" val="0"/>
</file>

<file path=xl/ctrlProps/ctrlProp451.xml><?xml version="1.0" encoding="utf-8"?>
<formControlPr xmlns="http://schemas.microsoft.com/office/spreadsheetml/2009/9/main" objectType="Drop" dropLines="4" dropStyle="combo" dx="16" fmlaLink="$H$220:$I$220" fmlaRange="$B$210:$B$213" noThreeD="1" sel="4" val="0"/>
</file>

<file path=xl/ctrlProps/ctrlProp452.xml><?xml version="1.0" encoding="utf-8"?>
<formControlPr xmlns="http://schemas.microsoft.com/office/spreadsheetml/2009/9/main" objectType="Drop" dropLines="4" dropStyle="combo" dx="16" fmlaLink="$H$220:$I$220" fmlaRange="$B$210:$B$213" noThreeD="1" sel="4" val="0"/>
</file>

<file path=xl/ctrlProps/ctrlProp453.xml><?xml version="1.0" encoding="utf-8"?>
<formControlPr xmlns="http://schemas.microsoft.com/office/spreadsheetml/2009/9/main" objectType="Drop" dropLines="3" dropStyle="combo" dx="16" fmlaLink="$C$9" fmlaRange="$B$210:$B$212" noThreeD="1" sel="0" val="0"/>
</file>

<file path=xl/ctrlProps/ctrlProp454.xml><?xml version="1.0" encoding="utf-8"?>
<formControlPr xmlns="http://schemas.microsoft.com/office/spreadsheetml/2009/9/main" objectType="Drop" dropLines="4" dropStyle="combo" dx="16" fmlaLink="$H$220" fmlaRange="$B$210:$B$213" noThreeD="1" sel="4" val="0"/>
</file>

<file path=xl/ctrlProps/ctrlProp455.xml><?xml version="1.0" encoding="utf-8"?>
<formControlPr xmlns="http://schemas.microsoft.com/office/spreadsheetml/2009/9/main" objectType="Drop" dropLines="3" dropStyle="combo" dx="16" fmlaLink="$I$206" fmlaRange="$D$210:$D$212" noThreeD="1" sel="3" val="0"/>
</file>

<file path=xl/ctrlProps/ctrlProp456.xml><?xml version="1.0" encoding="utf-8"?>
<formControlPr xmlns="http://schemas.microsoft.com/office/spreadsheetml/2009/9/main" objectType="Drop" dropLines="3" dropStyle="combo" dx="16" fmlaLink="$I$206" fmlaRange="$D$210:$D$212" noThreeD="1" sel="3" val="0"/>
</file>

<file path=xl/ctrlProps/ctrlProp457.xml><?xml version="1.0" encoding="utf-8"?>
<formControlPr xmlns="http://schemas.microsoft.com/office/spreadsheetml/2009/9/main" objectType="Drop" dropLines="4" dropStyle="combo" dx="16" fmlaLink="$H$220:$I$220" fmlaRange="$B$210:$B$213" noThreeD="1" sel="4" val="0"/>
</file>

<file path=xl/ctrlProps/ctrlProp458.xml><?xml version="1.0" encoding="utf-8"?>
<formControlPr xmlns="http://schemas.microsoft.com/office/spreadsheetml/2009/9/main" objectType="Drop" dropLines="4" dropStyle="combo" dx="16" fmlaLink="$H$220:$I$220" fmlaRange="$B$210:$B$213" noThreeD="1" sel="4" val="0"/>
</file>

<file path=xl/ctrlProps/ctrlProp459.xml><?xml version="1.0" encoding="utf-8"?>
<formControlPr xmlns="http://schemas.microsoft.com/office/spreadsheetml/2009/9/main" objectType="Drop" dropLines="3" dropStyle="combo" dx="16" fmlaLink="$C$9" fmlaRange="$B$210:$B$212" noThreeD="1" sel="0" val="0"/>
</file>

<file path=xl/ctrlProps/ctrlProp460.xml><?xml version="1.0" encoding="utf-8"?>
<formControlPr xmlns="http://schemas.microsoft.com/office/spreadsheetml/2009/9/main" objectType="Drop" dropLines="4" dropStyle="combo" dx="16" fmlaLink="$H$220" fmlaRange="$B$210:$B$213" noThreeD="1" sel="4" val="0"/>
</file>

<file path=xl/ctrlProps/ctrlProp461.xml><?xml version="1.0" encoding="utf-8"?>
<formControlPr xmlns="http://schemas.microsoft.com/office/spreadsheetml/2009/9/main" objectType="Drop" dropLines="3" dropStyle="combo" dx="16" fmlaLink="$I$206" fmlaRange="$D$210:$D$212" noThreeD="1" sel="3" val="0"/>
</file>

<file path=xl/ctrlProps/ctrlProp462.xml><?xml version="1.0" encoding="utf-8"?>
<formControlPr xmlns="http://schemas.microsoft.com/office/spreadsheetml/2009/9/main" objectType="Drop" dropLines="3" dropStyle="combo" dx="16" fmlaLink="$I$206" fmlaRange="$D$210:$D$212" noThreeD="1" sel="3" val="0"/>
</file>

<file path=xl/ctrlProps/ctrlProp463.xml><?xml version="1.0" encoding="utf-8"?>
<formControlPr xmlns="http://schemas.microsoft.com/office/spreadsheetml/2009/9/main" objectType="Drop" dropLines="4" dropStyle="combo" dx="22" fmlaLink="$H$220:$I$220" fmlaRange="$B$210:$B$213" noThreeD="1" sel="4" val="0"/>
</file>

<file path=xl/ctrlProps/ctrlProp464.xml><?xml version="1.0" encoding="utf-8"?>
<formControlPr xmlns="http://schemas.microsoft.com/office/spreadsheetml/2009/9/main" objectType="Drop" dropLines="4" dropStyle="combo" dx="22" fmlaLink="$H$220:$I$220" fmlaRange="$B$210:$B$213" noThreeD="1" sel="4" val="0"/>
</file>

<file path=xl/ctrlProps/ctrlProp465.xml><?xml version="1.0" encoding="utf-8"?>
<formControlPr xmlns="http://schemas.microsoft.com/office/spreadsheetml/2009/9/main" objectType="Drop" dropLines="3" dropStyle="combo" dx="22" fmlaLink="$C$9" fmlaRange="$B$210:$B$212" noThreeD="1" sel="0" val="0"/>
</file>

<file path=xl/ctrlProps/ctrlProp466.xml><?xml version="1.0" encoding="utf-8"?>
<formControlPr xmlns="http://schemas.microsoft.com/office/spreadsheetml/2009/9/main" objectType="Drop" dropLines="4" dropStyle="combo" dx="22" fmlaLink="$H$220" fmlaRange="$B$210:$B$213" noThreeD="1" sel="4" val="0"/>
</file>

<file path=xl/ctrlProps/ctrlProp467.xml><?xml version="1.0" encoding="utf-8"?>
<formControlPr xmlns="http://schemas.microsoft.com/office/spreadsheetml/2009/9/main" objectType="Drop" dropLines="3" dropStyle="combo" dx="22" fmlaLink="$I$206" fmlaRange="$D$210:$D$212" noThreeD="1" sel="3" val="0"/>
</file>

<file path=xl/ctrlProps/ctrlProp468.xml><?xml version="1.0" encoding="utf-8"?>
<formControlPr xmlns="http://schemas.microsoft.com/office/spreadsheetml/2009/9/main" objectType="Drop" dropLines="3" dropStyle="combo" dx="22" fmlaLink="$I$206" fmlaRange="$D$210:$D$212" noThreeD="1" sel="3" val="0"/>
</file>

<file path=xl/ctrlProps/ctrlProp469.xml><?xml version="1.0" encoding="utf-8"?>
<formControlPr xmlns="http://schemas.microsoft.com/office/spreadsheetml/2009/9/main" objectType="Drop" dropLines="4" dropStyle="combo" dx="16" fmlaLink="$H$220:$I$220" fmlaRange="$B$210:$B$213" noThreeD="1" sel="4" val="0"/>
</file>

<file path=xl/ctrlProps/ctrlProp470.xml><?xml version="1.0" encoding="utf-8"?>
<formControlPr xmlns="http://schemas.microsoft.com/office/spreadsheetml/2009/9/main" objectType="Drop" dropLines="4" dropStyle="combo" dx="16" fmlaLink="$H$220:$I$220" fmlaRange="$B$210:$B$213" noThreeD="1" sel="4" val="0"/>
</file>

<file path=xl/ctrlProps/ctrlProp471.xml><?xml version="1.0" encoding="utf-8"?>
<formControlPr xmlns="http://schemas.microsoft.com/office/spreadsheetml/2009/9/main" objectType="Drop" dropLines="3" dropStyle="combo" dx="16" fmlaLink="$C$9" fmlaRange="$B$210:$B$212" noThreeD="1" sel="0" val="0"/>
</file>

<file path=xl/ctrlProps/ctrlProp472.xml><?xml version="1.0" encoding="utf-8"?>
<formControlPr xmlns="http://schemas.microsoft.com/office/spreadsheetml/2009/9/main" objectType="Drop" dropLines="4" dropStyle="combo" dx="16" fmlaLink="$H$220" fmlaRange="$B$210:$B$213" noThreeD="1" sel="4" val="0"/>
</file>

<file path=xl/ctrlProps/ctrlProp473.xml><?xml version="1.0" encoding="utf-8"?>
<formControlPr xmlns="http://schemas.microsoft.com/office/spreadsheetml/2009/9/main" objectType="Drop" dropLines="3" dropStyle="combo" dx="16" fmlaLink="$I$206" fmlaRange="$D$210:$D$212" noThreeD="1" sel="3" val="0"/>
</file>

<file path=xl/ctrlProps/ctrlProp474.xml><?xml version="1.0" encoding="utf-8"?>
<formControlPr xmlns="http://schemas.microsoft.com/office/spreadsheetml/2009/9/main" objectType="Drop" dropLines="3" dropStyle="combo" dx="16" fmlaLink="$I$206" fmlaRange="$D$210:$D$212" noThreeD="1" sel="3" val="0"/>
</file>

<file path=xl/ctrlProps/ctrlProp475.xml><?xml version="1.0" encoding="utf-8"?>
<formControlPr xmlns="http://schemas.microsoft.com/office/spreadsheetml/2009/9/main" objectType="Drop" dropLines="4" dropStyle="combo" dx="16" fmlaLink="$H$220:$I$220" fmlaRange="$B$210:$B$213" noThreeD="1" sel="4" val="0"/>
</file>

<file path=xl/ctrlProps/ctrlProp476.xml><?xml version="1.0" encoding="utf-8"?>
<formControlPr xmlns="http://schemas.microsoft.com/office/spreadsheetml/2009/9/main" objectType="Drop" dropLines="4" dropStyle="combo" dx="16" fmlaLink="$H$220:$I$220" fmlaRange="$B$210:$B$213" noThreeD="1" sel="4" val="0"/>
</file>

<file path=xl/ctrlProps/ctrlProp477.xml><?xml version="1.0" encoding="utf-8"?>
<formControlPr xmlns="http://schemas.microsoft.com/office/spreadsheetml/2009/9/main" objectType="Drop" dropLines="3" dropStyle="combo" dx="16" fmlaLink="$C$9" fmlaRange="$B$210:$B$212" noThreeD="1" sel="0" val="0"/>
</file>

<file path=xl/ctrlProps/ctrlProp478.xml><?xml version="1.0" encoding="utf-8"?>
<formControlPr xmlns="http://schemas.microsoft.com/office/spreadsheetml/2009/9/main" objectType="Drop" dropLines="4" dropStyle="combo" dx="16" fmlaLink="$H$220" fmlaRange="$B$210:$B$213" noThreeD="1" sel="4" val="0"/>
</file>

<file path=xl/ctrlProps/ctrlProp479.xml><?xml version="1.0" encoding="utf-8"?>
<formControlPr xmlns="http://schemas.microsoft.com/office/spreadsheetml/2009/9/main" objectType="Drop" dropLines="3" dropStyle="combo" dx="16" fmlaLink="$I$206" fmlaRange="$D$210:$D$212" noThreeD="1" sel="3" val="0"/>
</file>

<file path=xl/ctrlProps/ctrlProp480.xml><?xml version="1.0" encoding="utf-8"?>
<formControlPr xmlns="http://schemas.microsoft.com/office/spreadsheetml/2009/9/main" objectType="Drop" dropLines="3" dropStyle="combo" dx="16" fmlaLink="$I$206" fmlaRange="$D$210:$D$212" noThreeD="1" sel="3" val="0"/>
</file>

<file path=xl/ctrlProps/ctrlProp481.xml><?xml version="1.0" encoding="utf-8"?>
<formControlPr xmlns="http://schemas.microsoft.com/office/spreadsheetml/2009/9/main" objectType="Drop" dropLines="4" dropStyle="combo" dx="16" fmlaLink="$H$220:$I$220" fmlaRange="$B$210:$B$213" noThreeD="1" sel="4" val="0"/>
</file>

<file path=xl/ctrlProps/ctrlProp482.xml><?xml version="1.0" encoding="utf-8"?>
<formControlPr xmlns="http://schemas.microsoft.com/office/spreadsheetml/2009/9/main" objectType="Drop" dropLines="4" dropStyle="combo" dx="16" fmlaLink="$H$220:$I$220" fmlaRange="$B$210:$B$213" noThreeD="1" sel="4" val="0"/>
</file>

<file path=xl/ctrlProps/ctrlProp483.xml><?xml version="1.0" encoding="utf-8"?>
<formControlPr xmlns="http://schemas.microsoft.com/office/spreadsheetml/2009/9/main" objectType="Drop" dropLines="3" dropStyle="combo" dx="16" fmlaLink="$C$9" fmlaRange="$B$210:$B$212" noThreeD="1" sel="0" val="0"/>
</file>

<file path=xl/ctrlProps/ctrlProp484.xml><?xml version="1.0" encoding="utf-8"?>
<formControlPr xmlns="http://schemas.microsoft.com/office/spreadsheetml/2009/9/main" objectType="Drop" dropLines="4" dropStyle="combo" dx="16" fmlaLink="$H$220" fmlaRange="$B$210:$B$213" noThreeD="1" sel="4" val="0"/>
</file>

<file path=xl/ctrlProps/ctrlProp485.xml><?xml version="1.0" encoding="utf-8"?>
<formControlPr xmlns="http://schemas.microsoft.com/office/spreadsheetml/2009/9/main" objectType="Drop" dropLines="3" dropStyle="combo" dx="16" fmlaLink="$I$206" fmlaRange="$D$210:$D$212" noThreeD="1" sel="3" val="0"/>
</file>

<file path=xl/ctrlProps/ctrlProp486.xml><?xml version="1.0" encoding="utf-8"?>
<formControlPr xmlns="http://schemas.microsoft.com/office/spreadsheetml/2009/9/main" objectType="Drop" dropLines="3" dropStyle="combo" dx="16" fmlaLink="$I$206" fmlaRange="$D$210:$D$212" noThreeD="1" sel="3" val="0"/>
</file>

<file path=xl/ctrlProps/ctrlProp487.xml><?xml version="1.0" encoding="utf-8"?>
<formControlPr xmlns="http://schemas.microsoft.com/office/spreadsheetml/2009/9/main" objectType="Drop" dropLines="4" dropStyle="combo" dx="16" fmlaLink="$H$220:$I$220" fmlaRange="$B$210:$B$213" noThreeD="1" sel="4" val="0"/>
</file>

<file path=xl/ctrlProps/ctrlProp488.xml><?xml version="1.0" encoding="utf-8"?>
<formControlPr xmlns="http://schemas.microsoft.com/office/spreadsheetml/2009/9/main" objectType="Drop" dropLines="4" dropStyle="combo" dx="16" fmlaLink="$H$220:$I$220" fmlaRange="$B$210:$B$213" noThreeD="1" sel="4" val="0"/>
</file>

<file path=xl/ctrlProps/ctrlProp489.xml><?xml version="1.0" encoding="utf-8"?>
<formControlPr xmlns="http://schemas.microsoft.com/office/spreadsheetml/2009/9/main" objectType="Drop" dropLines="3" dropStyle="combo" dx="16" fmlaLink="$C$9" fmlaRange="$B$210:$B$212" noThreeD="1" sel="0" val="0"/>
</file>

<file path=xl/ctrlProps/ctrlProp490.xml><?xml version="1.0" encoding="utf-8"?>
<formControlPr xmlns="http://schemas.microsoft.com/office/spreadsheetml/2009/9/main" objectType="Drop" dropLines="4" dropStyle="combo" dx="16" fmlaLink="$H$220" fmlaRange="$B$210:$B$213" noThreeD="1" sel="4" val="0"/>
</file>

<file path=xl/ctrlProps/ctrlProp491.xml><?xml version="1.0" encoding="utf-8"?>
<formControlPr xmlns="http://schemas.microsoft.com/office/spreadsheetml/2009/9/main" objectType="Drop" dropLines="3" dropStyle="combo" dx="16" fmlaLink="$I$206" fmlaRange="$D$210:$D$212" noThreeD="1" sel="3" val="0"/>
</file>

<file path=xl/ctrlProps/ctrlProp492.xml><?xml version="1.0" encoding="utf-8"?>
<formControlPr xmlns="http://schemas.microsoft.com/office/spreadsheetml/2009/9/main" objectType="Drop" dropLines="3" dropStyle="combo" dx="16" fmlaLink="$I$206" fmlaRange="$D$210:$D$212" noThreeD="1" sel="3" val="0"/>
</file>

<file path=xl/ctrlProps/ctrlProp493.xml><?xml version="1.0" encoding="utf-8"?>
<formControlPr xmlns="http://schemas.microsoft.com/office/spreadsheetml/2009/9/main" objectType="Drop" dropLines="4" dropStyle="combo" dx="16" fmlaLink="$H$220:$I$220" fmlaRange="$B$210:$B$213" noThreeD="1" sel="4" val="0"/>
</file>

<file path=xl/ctrlProps/ctrlProp494.xml><?xml version="1.0" encoding="utf-8"?>
<formControlPr xmlns="http://schemas.microsoft.com/office/spreadsheetml/2009/9/main" objectType="Drop" dropLines="4" dropStyle="combo" dx="16" fmlaLink="$H$220:$I$220" fmlaRange="$B$210:$B$213" noThreeD="1" sel="4" val="0"/>
</file>

<file path=xl/ctrlProps/ctrlProp495.xml><?xml version="1.0" encoding="utf-8"?>
<formControlPr xmlns="http://schemas.microsoft.com/office/spreadsheetml/2009/9/main" objectType="Drop" dropLines="3" dropStyle="combo" dx="16" fmlaLink="$C$9" fmlaRange="$B$210:$B$212" noThreeD="1" sel="0" val="0"/>
</file>

<file path=xl/ctrlProps/ctrlProp496.xml><?xml version="1.0" encoding="utf-8"?>
<formControlPr xmlns="http://schemas.microsoft.com/office/spreadsheetml/2009/9/main" objectType="Drop" dropLines="4" dropStyle="combo" dx="16" fmlaLink="$H$220" fmlaRange="$B$210:$B$213" noThreeD="1" sel="4" val="0"/>
</file>

<file path=xl/ctrlProps/ctrlProp497.xml><?xml version="1.0" encoding="utf-8"?>
<formControlPr xmlns="http://schemas.microsoft.com/office/spreadsheetml/2009/9/main" objectType="Drop" dropLines="3" dropStyle="combo" dx="16" fmlaLink="$I$206" fmlaRange="$D$210:$D$212" noThreeD="1" sel="3" val="0"/>
</file>

<file path=xl/ctrlProps/ctrlProp498.xml><?xml version="1.0" encoding="utf-8"?>
<formControlPr xmlns="http://schemas.microsoft.com/office/spreadsheetml/2009/9/main" objectType="Drop" dropLines="3" dropStyle="combo" dx="16" fmlaLink="$I$206" fmlaRange="$D$210:$D$212" noThreeD="1" sel="3" val="0"/>
</file>

<file path=xl/ctrlProps/ctrlProp499.xml><?xml version="1.0" encoding="utf-8"?>
<formControlPr xmlns="http://schemas.microsoft.com/office/spreadsheetml/2009/9/main" objectType="Drop" dropLines="4" dropStyle="combo" dx="16" fmlaLink="$H$220:$I$220" fmlaRange="$B$210:$B$213" noThreeD="1" sel="4" val="0"/>
</file>

<file path=xl/ctrlProps/ctrlProp500.xml><?xml version="1.0" encoding="utf-8"?>
<formControlPr xmlns="http://schemas.microsoft.com/office/spreadsheetml/2009/9/main" objectType="Drop" dropLines="4" dropStyle="combo" dx="16" fmlaLink="$H$220:$I$220" fmlaRange="$B$210:$B$213" noThreeD="1" sel="4" val="0"/>
</file>

<file path=xl/ctrlProps/ctrlProp501.xml><?xml version="1.0" encoding="utf-8"?>
<formControlPr xmlns="http://schemas.microsoft.com/office/spreadsheetml/2009/9/main" objectType="Drop" dropLines="3" dropStyle="combo" dx="16" fmlaLink="$C$9" fmlaRange="$B$210:$B$212" noThreeD="1" sel="0" val="0"/>
</file>

<file path=xl/ctrlProps/ctrlProp502.xml><?xml version="1.0" encoding="utf-8"?>
<formControlPr xmlns="http://schemas.microsoft.com/office/spreadsheetml/2009/9/main" objectType="Drop" dropLines="4" dropStyle="combo" dx="16" fmlaLink="$H$220" fmlaRange="$B$210:$B$213" noThreeD="1" sel="4" val="0"/>
</file>

<file path=xl/ctrlProps/ctrlProp503.xml><?xml version="1.0" encoding="utf-8"?>
<formControlPr xmlns="http://schemas.microsoft.com/office/spreadsheetml/2009/9/main" objectType="Drop" dropLines="3" dropStyle="combo" dx="16" fmlaLink="$I$206" fmlaRange="$D$210:$D$212" noThreeD="1" sel="3" val="0"/>
</file>

<file path=xl/ctrlProps/ctrlProp504.xml><?xml version="1.0" encoding="utf-8"?>
<formControlPr xmlns="http://schemas.microsoft.com/office/spreadsheetml/2009/9/main" objectType="Drop" dropLines="3" dropStyle="combo" dx="16" fmlaLink="$I$206" fmlaRange="$D$210:$D$212" noThreeD="1" sel="3" val="0"/>
</file>

<file path=xl/ctrlProps/ctrlProp505.xml><?xml version="1.0" encoding="utf-8"?>
<formControlPr xmlns="http://schemas.microsoft.com/office/spreadsheetml/2009/9/main" objectType="Drop" dropLines="4" dropStyle="combo" dx="16" fmlaLink="$H$220:$I$220" fmlaRange="$B$210:$B$213" noThreeD="1" sel="4" val="0"/>
</file>

<file path=xl/ctrlProps/ctrlProp506.xml><?xml version="1.0" encoding="utf-8"?>
<formControlPr xmlns="http://schemas.microsoft.com/office/spreadsheetml/2009/9/main" objectType="Drop" dropLines="4" dropStyle="combo" dx="16" fmlaLink="$H$220:$I$220" fmlaRange="$B$210:$B$213" noThreeD="1" sel="4" val="0"/>
</file>

<file path=xl/ctrlProps/ctrlProp507.xml><?xml version="1.0" encoding="utf-8"?>
<formControlPr xmlns="http://schemas.microsoft.com/office/spreadsheetml/2009/9/main" objectType="Drop" dropLines="3" dropStyle="combo" dx="16" fmlaLink="$C$9" fmlaRange="$B$210:$B$212" noThreeD="1" sel="0" val="0"/>
</file>

<file path=xl/ctrlProps/ctrlProp508.xml><?xml version="1.0" encoding="utf-8"?>
<formControlPr xmlns="http://schemas.microsoft.com/office/spreadsheetml/2009/9/main" objectType="Drop" dropLines="4" dropStyle="combo" dx="16" fmlaLink="$H$220" fmlaRange="$B$210:$B$213" noThreeD="1" sel="4" val="0"/>
</file>

<file path=xl/ctrlProps/ctrlProp509.xml><?xml version="1.0" encoding="utf-8"?>
<formControlPr xmlns="http://schemas.microsoft.com/office/spreadsheetml/2009/9/main" objectType="Drop" dropLines="3" dropStyle="combo" dx="16" fmlaLink="$I$206" fmlaRange="$D$210:$D$212" noThreeD="1" sel="3" val="0"/>
</file>

<file path=xl/ctrlProps/ctrlProp510.xml><?xml version="1.0" encoding="utf-8"?>
<formControlPr xmlns="http://schemas.microsoft.com/office/spreadsheetml/2009/9/main" objectType="Drop" dropLines="3" dropStyle="combo" dx="16" fmlaLink="$I$206" fmlaRange="$D$210:$D$212" noThreeD="1" sel="3" val="0"/>
</file>

<file path=xl/ctrlProps/ctrlProp511.xml><?xml version="1.0" encoding="utf-8"?>
<formControlPr xmlns="http://schemas.microsoft.com/office/spreadsheetml/2009/9/main" objectType="Drop" dropLines="4" dropStyle="combo" dx="16" fmlaLink="$H$220:$I$220" fmlaRange="$B$210:$B$213" noThreeD="1" sel="4" val="0"/>
</file>

<file path=xl/ctrlProps/ctrlProp512.xml><?xml version="1.0" encoding="utf-8"?>
<formControlPr xmlns="http://schemas.microsoft.com/office/spreadsheetml/2009/9/main" objectType="Drop" dropLines="4" dropStyle="combo" dx="16" fmlaLink="$H$220:$I$220" fmlaRange="$B$210:$B$213" noThreeD="1" sel="4" val="0"/>
</file>

<file path=xl/ctrlProps/ctrlProp513.xml><?xml version="1.0" encoding="utf-8"?>
<formControlPr xmlns="http://schemas.microsoft.com/office/spreadsheetml/2009/9/main" objectType="Drop" dropLines="3" dropStyle="combo" dx="16" fmlaLink="$C$9" fmlaRange="$B$210:$B$212" noThreeD="1" sel="0" val="0"/>
</file>

<file path=xl/ctrlProps/ctrlProp514.xml><?xml version="1.0" encoding="utf-8"?>
<formControlPr xmlns="http://schemas.microsoft.com/office/spreadsheetml/2009/9/main" objectType="Drop" dropLines="4" dropStyle="combo" dx="16" fmlaLink="$H$220" fmlaRange="$B$210:$B$213" noThreeD="1" sel="4" val="0"/>
</file>

<file path=xl/ctrlProps/ctrlProp515.xml><?xml version="1.0" encoding="utf-8"?>
<formControlPr xmlns="http://schemas.microsoft.com/office/spreadsheetml/2009/9/main" objectType="Drop" dropLines="3" dropStyle="combo" dx="16" fmlaLink="$I$206" fmlaRange="$D$210:$D$212" noThreeD="1" sel="3" val="0"/>
</file>

<file path=xl/ctrlProps/ctrlProp516.xml><?xml version="1.0" encoding="utf-8"?>
<formControlPr xmlns="http://schemas.microsoft.com/office/spreadsheetml/2009/9/main" objectType="Drop" dropLines="3" dropStyle="combo" dx="16" fmlaLink="$I$206" fmlaRange="$D$210:$D$212" noThreeD="1" sel="3" val="0"/>
</file>

<file path=xl/ctrlProps/ctrlProp517.xml><?xml version="1.0" encoding="utf-8"?>
<formControlPr xmlns="http://schemas.microsoft.com/office/spreadsheetml/2009/9/main" objectType="Drop" dropLines="4" dropStyle="combo" dx="16" fmlaLink="$H$220:$I$220" fmlaRange="$B$210:$B$213" noThreeD="1" sel="4" val="0"/>
</file>

<file path=xl/ctrlProps/ctrlProp518.xml><?xml version="1.0" encoding="utf-8"?>
<formControlPr xmlns="http://schemas.microsoft.com/office/spreadsheetml/2009/9/main" objectType="Drop" dropLines="4" dropStyle="combo" dx="16" fmlaLink="$H$220:$I$220" fmlaRange="$B$210:$B$213" noThreeD="1" sel="4" val="0"/>
</file>

<file path=xl/ctrlProps/ctrlProp519.xml><?xml version="1.0" encoding="utf-8"?>
<formControlPr xmlns="http://schemas.microsoft.com/office/spreadsheetml/2009/9/main" objectType="Drop" dropLines="4" dropStyle="combo" dx="16" fmlaLink="$H$220:$I$220" fmlaRange="$B$210:$B$213" noThreeD="1" sel="4" val="0"/>
</file>

<file path=xl/ctrlProps/ctrlProp520.xml><?xml version="1.0" encoding="utf-8"?>
<formControlPr xmlns="http://schemas.microsoft.com/office/spreadsheetml/2009/9/main" objectType="Drop" dropLines="3" dropStyle="combo" dx="16" fmlaLink="$C$9" fmlaRange="$B$210:$B$212" noThreeD="1" sel="0" val="0"/>
</file>

<file path=xl/ctrlProps/ctrlProp521.xml><?xml version="1.0" encoding="utf-8"?>
<formControlPr xmlns="http://schemas.microsoft.com/office/spreadsheetml/2009/9/main" objectType="Drop" dropLines="4" dropStyle="combo" dx="16" fmlaLink="$H$220" fmlaRange="$B$210:$B$213" noThreeD="1" sel="4" val="0"/>
</file>

<file path=xl/ctrlProps/ctrlProp522.xml><?xml version="1.0" encoding="utf-8"?>
<formControlPr xmlns="http://schemas.microsoft.com/office/spreadsheetml/2009/9/main" objectType="Drop" dropLines="3" dropStyle="combo" dx="16" fmlaLink="$I$206" fmlaRange="$D$210:$D$212" noThreeD="1" sel="3" val="0"/>
</file>

<file path=xl/ctrlProps/ctrlProp523.xml><?xml version="1.0" encoding="utf-8"?>
<formControlPr xmlns="http://schemas.microsoft.com/office/spreadsheetml/2009/9/main" objectType="Drop" dropLines="3" dropStyle="combo" dx="16" fmlaLink="$I$206" fmlaRange="$D$210:$D$212" noThreeD="1" sel="3" val="0"/>
</file>

<file path=xl/ctrlProps/ctrlProp524.xml><?xml version="1.0" encoding="utf-8"?>
<formControlPr xmlns="http://schemas.microsoft.com/office/spreadsheetml/2009/9/main" objectType="Drop" dropLines="4" dropStyle="combo" dx="16" fmlaLink="$H$220:$I$220" fmlaRange="$B$210:$B$213" noThreeD="1" sel="4" val="0"/>
</file>

<file path=xl/ctrlProps/ctrlProp525.xml><?xml version="1.0" encoding="utf-8"?>
<formControlPr xmlns="http://schemas.microsoft.com/office/spreadsheetml/2009/9/main" objectType="Drop" dropLines="4" dropStyle="combo" dx="16" fmlaLink="$H$220:$I$220" fmlaRange="$B$210:$B$213" noThreeD="1" sel="4" val="0"/>
</file>

<file path=xl/ctrlProps/ctrlProp526.xml><?xml version="1.0" encoding="utf-8"?>
<formControlPr xmlns="http://schemas.microsoft.com/office/spreadsheetml/2009/9/main" objectType="Drop" dropLines="3" dropStyle="combo" dx="16" fmlaLink="$C$9" fmlaRange="$B$210:$B$212" noThreeD="1" sel="0" val="0"/>
</file>

<file path=xl/ctrlProps/ctrlProp527.xml><?xml version="1.0" encoding="utf-8"?>
<formControlPr xmlns="http://schemas.microsoft.com/office/spreadsheetml/2009/9/main" objectType="Drop" dropLines="4" dropStyle="combo" dx="16" fmlaLink="$H$220" fmlaRange="$B$210:$B$213" noThreeD="1" sel="4" val="0"/>
</file>

<file path=xl/ctrlProps/ctrlProp528.xml><?xml version="1.0" encoding="utf-8"?>
<formControlPr xmlns="http://schemas.microsoft.com/office/spreadsheetml/2009/9/main" objectType="Drop" dropLines="3" dropStyle="combo" dx="16" fmlaLink="$I$206" fmlaRange="$D$210:$D$212" noThreeD="1" sel="3" val="0"/>
</file>

<file path=xl/ctrlProps/ctrlProp529.xml><?xml version="1.0" encoding="utf-8"?>
<formControlPr xmlns="http://schemas.microsoft.com/office/spreadsheetml/2009/9/main" objectType="Drop" dropLines="3" dropStyle="combo" dx="16" fmlaLink="$I$206" fmlaRange="$D$210:$D$212" noThreeD="1" sel="3" val="0"/>
</file>

<file path=xl/ctrlProps/ctrlProp530.xml><?xml version="1.0" encoding="utf-8"?>
<formControlPr xmlns="http://schemas.microsoft.com/office/spreadsheetml/2009/9/main" objectType="Drop" dropLines="4" dropStyle="combo" dx="16" fmlaLink="$H$220:$I$220" fmlaRange="$B$210:$B$213" noThreeD="1" sel="4" val="0"/>
</file>

<file path=xl/ctrlProps/ctrlProp531.xml><?xml version="1.0" encoding="utf-8"?>
<formControlPr xmlns="http://schemas.microsoft.com/office/spreadsheetml/2009/9/main" objectType="Drop" dropLines="4" dropStyle="combo" dx="16" fmlaLink="$H$220:$I$220" fmlaRange="$B$210:$B$213" noThreeD="1" sel="4" val="0"/>
</file>

<file path=xl/ctrlProps/ctrlProp532.xml><?xml version="1.0" encoding="utf-8"?>
<formControlPr xmlns="http://schemas.microsoft.com/office/spreadsheetml/2009/9/main" objectType="Drop" dropLines="3" dropStyle="combo" dx="16" fmlaLink="$C$9" fmlaRange="$B$210:$B$212" noThreeD="1" sel="0" val="0"/>
</file>

<file path=xl/ctrlProps/ctrlProp533.xml><?xml version="1.0" encoding="utf-8"?>
<formControlPr xmlns="http://schemas.microsoft.com/office/spreadsheetml/2009/9/main" objectType="Drop" dropLines="4" dropStyle="combo" dx="16" fmlaLink="$H$220" fmlaRange="$B$210:$B$213" noThreeD="1" sel="4" val="0"/>
</file>

<file path=xl/ctrlProps/ctrlProp534.xml><?xml version="1.0" encoding="utf-8"?>
<formControlPr xmlns="http://schemas.microsoft.com/office/spreadsheetml/2009/9/main" objectType="Drop" dropLines="3" dropStyle="combo" dx="16" fmlaLink="$I$206" fmlaRange="$D$210:$D$212" noThreeD="1" sel="3" val="0"/>
</file>

<file path=xl/ctrlProps/ctrlProp535.xml><?xml version="1.0" encoding="utf-8"?>
<formControlPr xmlns="http://schemas.microsoft.com/office/spreadsheetml/2009/9/main" objectType="Drop" dropLines="3" dropStyle="combo" dx="16" fmlaLink="$I$206" fmlaRange="$D$210:$D$212" noThreeD="1" sel="3" val="0"/>
</file>

<file path=xl/ctrlProps/ctrlProp536.xml><?xml version="1.0" encoding="utf-8"?>
<formControlPr xmlns="http://schemas.microsoft.com/office/spreadsheetml/2009/9/main" objectType="Drop" dropLines="4" dropStyle="combo" dx="16" fmlaLink="$H$220:$I$220" fmlaRange="$B$210:$B$213" noThreeD="1" sel="4" val="0"/>
</file>

<file path=xl/ctrlProps/ctrlProp537.xml><?xml version="1.0" encoding="utf-8"?>
<formControlPr xmlns="http://schemas.microsoft.com/office/spreadsheetml/2009/9/main" objectType="Drop" dropLines="4" dropStyle="combo" dx="16" fmlaLink="$H$220:$I$220" fmlaRange="$B$210:$B$213" noThreeD="1" sel="4" val="0"/>
</file>

<file path=xl/ctrlProps/ctrlProp538.xml><?xml version="1.0" encoding="utf-8"?>
<formControlPr xmlns="http://schemas.microsoft.com/office/spreadsheetml/2009/9/main" objectType="Drop" dropLines="3" dropStyle="combo" dx="16" fmlaLink="$C$9" fmlaRange="$B$210:$B$212" noThreeD="1" sel="0" val="0"/>
</file>

<file path=xl/ctrlProps/ctrlProp539.xml><?xml version="1.0" encoding="utf-8"?>
<formControlPr xmlns="http://schemas.microsoft.com/office/spreadsheetml/2009/9/main" objectType="Drop" dropLines="4" dropStyle="combo" dx="16" fmlaLink="$H$220" fmlaRange="$B$210:$B$213" noThreeD="1" sel="4" val="0"/>
</file>

<file path=xl/ctrlProps/ctrlProp540.xml><?xml version="1.0" encoding="utf-8"?>
<formControlPr xmlns="http://schemas.microsoft.com/office/spreadsheetml/2009/9/main" objectType="Drop" dropLines="3" dropStyle="combo" dx="16" fmlaLink="$I$206" fmlaRange="$D$210:$D$212" noThreeD="1" sel="3" val="0"/>
</file>

<file path=xl/ctrlProps/ctrlProp541.xml><?xml version="1.0" encoding="utf-8"?>
<formControlPr xmlns="http://schemas.microsoft.com/office/spreadsheetml/2009/9/main" objectType="Drop" dropLines="3" dropStyle="combo" dx="16" fmlaLink="$I$206" fmlaRange="$D$210:$D$212" noThreeD="1" sel="3" val="0"/>
</file>

<file path=xl/ctrlProps/ctrlProp542.xml><?xml version="1.0" encoding="utf-8"?>
<formControlPr xmlns="http://schemas.microsoft.com/office/spreadsheetml/2009/9/main" objectType="Drop" dropLines="4" dropStyle="combo" dx="16" fmlaLink="$H$220:$I$220" fmlaRange="$B$210:$B$213" noThreeD="1" sel="4" val="0"/>
</file>

<file path=xl/ctrlProps/ctrlProp543.xml><?xml version="1.0" encoding="utf-8"?>
<formControlPr xmlns="http://schemas.microsoft.com/office/spreadsheetml/2009/9/main" objectType="Drop" dropLines="4" dropStyle="combo" dx="16" fmlaLink="$H$220:$I$220" fmlaRange="$B$210:$B$213" noThreeD="1" sel="4" val="0"/>
</file>

<file path=xl/ctrlProps/ctrlProp544.xml><?xml version="1.0" encoding="utf-8"?>
<formControlPr xmlns="http://schemas.microsoft.com/office/spreadsheetml/2009/9/main" objectType="Drop" dropLines="3" dropStyle="combo" dx="16" fmlaLink="$C$9" fmlaRange="$B$210:$B$212" noThreeD="1" sel="0" val="0"/>
</file>

<file path=xl/ctrlProps/ctrlProp545.xml><?xml version="1.0" encoding="utf-8"?>
<formControlPr xmlns="http://schemas.microsoft.com/office/spreadsheetml/2009/9/main" objectType="Drop" dropLines="4" dropStyle="combo" dx="16" fmlaLink="$H$220" fmlaRange="$B$210:$B$213" noThreeD="1" sel="4" val="0"/>
</file>

<file path=xl/ctrlProps/ctrlProp546.xml><?xml version="1.0" encoding="utf-8"?>
<formControlPr xmlns="http://schemas.microsoft.com/office/spreadsheetml/2009/9/main" objectType="Drop" dropLines="3" dropStyle="combo" dx="16" fmlaLink="$I$206" fmlaRange="$D$210:$D$212" noThreeD="1" sel="3" val="0"/>
</file>

<file path=xl/ctrlProps/ctrlProp547.xml><?xml version="1.0" encoding="utf-8"?>
<formControlPr xmlns="http://schemas.microsoft.com/office/spreadsheetml/2009/9/main" objectType="Drop" dropLines="3" dropStyle="combo" dx="16" fmlaLink="$I$206" fmlaRange="$D$210:$D$212" noThreeD="1" sel="3" val="0"/>
</file>

<file path=xl/ctrlProps/ctrlProp548.xml><?xml version="1.0" encoding="utf-8"?>
<formControlPr xmlns="http://schemas.microsoft.com/office/spreadsheetml/2009/9/main" objectType="Drop" dropLines="4" dropStyle="combo" dx="16" fmlaLink="$H$220:$I$220" fmlaRange="$B$210:$B$213" noThreeD="1" sel="4" val="0"/>
</file>

<file path=xl/ctrlProps/ctrlProp549.xml><?xml version="1.0" encoding="utf-8"?>
<formControlPr xmlns="http://schemas.microsoft.com/office/spreadsheetml/2009/9/main" objectType="Drop" dropLines="4" dropStyle="combo" dx="16" fmlaLink="$H$220:$I$220" fmlaRange="$B$210:$B$213" noThreeD="1" sel="4" val="0"/>
</file>

<file path=xl/ctrlProps/ctrlProp550.xml><?xml version="1.0" encoding="utf-8"?>
<formControlPr xmlns="http://schemas.microsoft.com/office/spreadsheetml/2009/9/main" objectType="Drop" dropLines="3" dropStyle="combo" dx="16" fmlaLink="$C$9" fmlaRange="$B$210:$B$212" noThreeD="1" sel="0" val="0"/>
</file>

<file path=xl/ctrlProps/ctrlProp551.xml><?xml version="1.0" encoding="utf-8"?>
<formControlPr xmlns="http://schemas.microsoft.com/office/spreadsheetml/2009/9/main" objectType="Drop" dropLines="4" dropStyle="combo" dx="16" fmlaLink="$H$220" fmlaRange="$B$210:$B$213" noThreeD="1" sel="4" val="0"/>
</file>

<file path=xl/ctrlProps/ctrlProp552.xml><?xml version="1.0" encoding="utf-8"?>
<formControlPr xmlns="http://schemas.microsoft.com/office/spreadsheetml/2009/9/main" objectType="Drop" dropLines="3" dropStyle="combo" dx="16" fmlaLink="$I$206" fmlaRange="$D$210:$D$212" noThreeD="1" sel="3" val="0"/>
</file>

<file path=xl/ctrlProps/ctrlProp553.xml><?xml version="1.0" encoding="utf-8"?>
<formControlPr xmlns="http://schemas.microsoft.com/office/spreadsheetml/2009/9/main" objectType="Drop" dropLines="3" dropStyle="combo" dx="16" fmlaLink="$I$206" fmlaRange="$D$210:$D$212" noThreeD="1" sel="3" val="0"/>
</file>

<file path=xl/ctrlProps/ctrlProp554.xml><?xml version="1.0" encoding="utf-8"?>
<formControlPr xmlns="http://schemas.microsoft.com/office/spreadsheetml/2009/9/main" objectType="Drop" dropLines="4" dropStyle="combo" dx="16" fmlaLink="$H$220:$I$220" fmlaRange="$B$210:$B$213" noThreeD="1" sel="4" val="0"/>
</file>

<file path=xl/ctrlProps/ctrlProp555.xml><?xml version="1.0" encoding="utf-8"?>
<formControlPr xmlns="http://schemas.microsoft.com/office/spreadsheetml/2009/9/main" objectType="Drop" dropLines="4" dropStyle="combo" dx="16" fmlaLink="$H$220:$I$220" fmlaRange="$B$210:$B$213" noThreeD="1" sel="4" val="0"/>
</file>

<file path=xl/ctrlProps/ctrlProp556.xml><?xml version="1.0" encoding="utf-8"?>
<formControlPr xmlns="http://schemas.microsoft.com/office/spreadsheetml/2009/9/main" objectType="Drop" dropLines="3" dropStyle="combo" dx="16" fmlaLink="$C$9" fmlaRange="$B$210:$B$212" noThreeD="1" sel="0" val="0"/>
</file>

<file path=xl/ctrlProps/ctrlProp557.xml><?xml version="1.0" encoding="utf-8"?>
<formControlPr xmlns="http://schemas.microsoft.com/office/spreadsheetml/2009/9/main" objectType="Drop" dropLines="4" dropStyle="combo" dx="16" fmlaLink="$H$220" fmlaRange="$B$210:$B$213" noThreeD="1" sel="4" val="0"/>
</file>

<file path=xl/ctrlProps/ctrlProp558.xml><?xml version="1.0" encoding="utf-8"?>
<formControlPr xmlns="http://schemas.microsoft.com/office/spreadsheetml/2009/9/main" objectType="Drop" dropLines="3" dropStyle="combo" dx="16" fmlaLink="$I$206" fmlaRange="$D$210:$D$212" noThreeD="1" sel="3" val="0"/>
</file>

<file path=xl/ctrlProps/ctrlProp559.xml><?xml version="1.0" encoding="utf-8"?>
<formControlPr xmlns="http://schemas.microsoft.com/office/spreadsheetml/2009/9/main" objectType="Drop" dropLines="3" dropStyle="combo" dx="16" fmlaLink="$I$206" fmlaRange="$D$210:$D$212" noThreeD="1" sel="3" val="0"/>
</file>

<file path=xl/ctrlProps/ctrlProp560.xml><?xml version="1.0" encoding="utf-8"?>
<formControlPr xmlns="http://schemas.microsoft.com/office/spreadsheetml/2009/9/main" objectType="Drop" dropLines="4" dropStyle="combo" dx="22" fmlaLink="$H$220:$I$220" fmlaRange="$B$210:$B$213" noThreeD="1" sel="4" val="0"/>
</file>

<file path=xl/ctrlProps/ctrlProp561.xml><?xml version="1.0" encoding="utf-8"?>
<formControlPr xmlns="http://schemas.microsoft.com/office/spreadsheetml/2009/9/main" objectType="Drop" dropLines="4" dropStyle="combo" dx="22" fmlaLink="$H$220:$I$220" fmlaRange="$B$210:$B$213" noThreeD="1" sel="4" val="0"/>
</file>

<file path=xl/ctrlProps/ctrlProp562.xml><?xml version="1.0" encoding="utf-8"?>
<formControlPr xmlns="http://schemas.microsoft.com/office/spreadsheetml/2009/9/main" objectType="Drop" dropLines="3" dropStyle="combo" dx="22" fmlaLink="$C$9" fmlaRange="$B$210:$B$212" noThreeD="1" sel="0" val="0"/>
</file>

<file path=xl/ctrlProps/ctrlProp563.xml><?xml version="1.0" encoding="utf-8"?>
<formControlPr xmlns="http://schemas.microsoft.com/office/spreadsheetml/2009/9/main" objectType="Drop" dropLines="4" dropStyle="combo" dx="22" fmlaLink="$H$220" fmlaRange="$B$210:$B$213" noThreeD="1" sel="4" val="0"/>
</file>

<file path=xl/ctrlProps/ctrlProp564.xml><?xml version="1.0" encoding="utf-8"?>
<formControlPr xmlns="http://schemas.microsoft.com/office/spreadsheetml/2009/9/main" objectType="Drop" dropLines="3" dropStyle="combo" dx="22" fmlaLink="$I$206" fmlaRange="$D$210:$D$212" noThreeD="1" sel="3" val="0"/>
</file>

<file path=xl/ctrlProps/ctrlProp565.xml><?xml version="1.0" encoding="utf-8"?>
<formControlPr xmlns="http://schemas.microsoft.com/office/spreadsheetml/2009/9/main" objectType="Drop" dropLines="3" dropStyle="combo" dx="22" fmlaLink="$I$206" fmlaRange="$D$210:$D$212" noThreeD="1" sel="3" val="0"/>
</file>

<file path=xl/ctrlProps/ctrlProp566.xml><?xml version="1.0" encoding="utf-8"?>
<formControlPr xmlns="http://schemas.microsoft.com/office/spreadsheetml/2009/9/main" objectType="Drop" dropLines="4" dropStyle="combo" dx="22" fmlaLink="$H$220:$I$220" fmlaRange="$B$210:$B$213" noThreeD="1" sel="4" val="0"/>
</file>

<file path=xl/ctrlProps/ctrlProp567.xml><?xml version="1.0" encoding="utf-8"?>
<formControlPr xmlns="http://schemas.microsoft.com/office/spreadsheetml/2009/9/main" objectType="Drop" dropLines="4" dropStyle="combo" dx="22" fmlaLink="$H$220:$I$220" fmlaRange="$B$210:$B$213" noThreeD="1" sel="4" val="0"/>
</file>

<file path=xl/ctrlProps/ctrlProp568.xml><?xml version="1.0" encoding="utf-8"?>
<formControlPr xmlns="http://schemas.microsoft.com/office/spreadsheetml/2009/9/main" objectType="Drop" dropLines="3" dropStyle="combo" dx="22" fmlaLink="$C$9" fmlaRange="$B$210:$B$212" noThreeD="1" sel="0" val="0"/>
</file>

<file path=xl/ctrlProps/ctrlProp569.xml><?xml version="1.0" encoding="utf-8"?>
<formControlPr xmlns="http://schemas.microsoft.com/office/spreadsheetml/2009/9/main" objectType="Drop" dropLines="4" dropStyle="combo" dx="22" fmlaLink="$H$220" fmlaRange="$B$210:$B$213" noThreeD="1" sel="4" val="0"/>
</file>

<file path=xl/ctrlProps/ctrlProp570.xml><?xml version="1.0" encoding="utf-8"?>
<formControlPr xmlns="http://schemas.microsoft.com/office/spreadsheetml/2009/9/main" objectType="Drop" dropLines="3" dropStyle="combo" dx="22" fmlaLink="$I$206" fmlaRange="$D$210:$D$212" noThreeD="1" sel="3" val="0"/>
</file>

<file path=xl/ctrlProps/ctrlProp571.xml><?xml version="1.0" encoding="utf-8"?>
<formControlPr xmlns="http://schemas.microsoft.com/office/spreadsheetml/2009/9/main" objectType="Drop" dropLines="3" dropStyle="combo" dx="22" fmlaLink="$I$206" fmlaRange="$D$210:$D$212" noThreeD="1" sel="3" val="0"/>
</file>

<file path=xl/ctrlProps/ctrlProp572.xml><?xml version="1.0" encoding="utf-8"?>
<formControlPr xmlns="http://schemas.microsoft.com/office/spreadsheetml/2009/9/main" objectType="Drop" dropLines="4" dropStyle="combo" dx="16" fmlaLink="$H$220:$I$220" fmlaRange="$B$210:$B$213" noThreeD="1" sel="4" val="0"/>
</file>

<file path=xl/ctrlProps/ctrlProp573.xml><?xml version="1.0" encoding="utf-8"?>
<formControlPr xmlns="http://schemas.microsoft.com/office/spreadsheetml/2009/9/main" objectType="Drop" dropLines="4" dropStyle="combo" dx="16" fmlaLink="$H$220:$I$220" fmlaRange="$B$210:$B$213" noThreeD="1" sel="4" val="0"/>
</file>

<file path=xl/ctrlProps/ctrlProp574.xml><?xml version="1.0" encoding="utf-8"?>
<formControlPr xmlns="http://schemas.microsoft.com/office/spreadsheetml/2009/9/main" objectType="Drop" dropLines="3" dropStyle="combo" dx="16" fmlaLink="$C$9" fmlaRange="$B$210:$B$212" noThreeD="1" sel="0" val="0"/>
</file>

<file path=xl/ctrlProps/ctrlProp575.xml><?xml version="1.0" encoding="utf-8"?>
<formControlPr xmlns="http://schemas.microsoft.com/office/spreadsheetml/2009/9/main" objectType="Drop" dropLines="4" dropStyle="combo" dx="16" fmlaLink="$H$220" fmlaRange="$B$210:$B$213" noThreeD="1" sel="4" val="0"/>
</file>

<file path=xl/ctrlProps/ctrlProp576.xml><?xml version="1.0" encoding="utf-8"?>
<formControlPr xmlns="http://schemas.microsoft.com/office/spreadsheetml/2009/9/main" objectType="Drop" dropLines="3" dropStyle="combo" dx="16" fmlaLink="$I$206" fmlaRange="$D$210:$D$212" noThreeD="1" sel="3" val="0"/>
</file>

<file path=xl/ctrlProps/ctrlProp577.xml><?xml version="1.0" encoding="utf-8"?>
<formControlPr xmlns="http://schemas.microsoft.com/office/spreadsheetml/2009/9/main" objectType="Drop" dropLines="3" dropStyle="combo" dx="16" fmlaLink="$I$206" fmlaRange="$D$210:$D$212" noThreeD="1" sel="3" val="0"/>
</file>

<file path=xl/ctrlProps/ctrlProp578.xml><?xml version="1.0" encoding="utf-8"?>
<formControlPr xmlns="http://schemas.microsoft.com/office/spreadsheetml/2009/9/main" objectType="Drop" dropLines="7" dropStyle="combo" dx="16" fmlaLink="$N$27" fmlaRange="$D$108:$D$114" noThreeD="1" sel="2" val="0"/>
</file>

<file path=xl/ctrlProps/ctrlProp579.xml><?xml version="1.0" encoding="utf-8"?>
<formControlPr xmlns="http://schemas.microsoft.com/office/spreadsheetml/2009/9/main" objectType="Drop" dropLines="6" dropStyle="combo" dx="16" fmlaLink="$P$27" fmlaRange="$B$108:$B$113" noThreeD="1" sel="2" val="0"/>
</file>

<file path=xl/ctrlProps/ctrlProp580.xml><?xml version="1.0" encoding="utf-8"?>
<formControlPr xmlns="http://schemas.microsoft.com/office/spreadsheetml/2009/9/main" objectType="Drop" dropLines="7" dropStyle="combo" dx="16" fmlaLink="$AB$53" fmlaRange="$AG$99:$AG$105" noThreeD="1" sel="3" val="0"/>
</file>

<file path=xl/ctrlProps/ctrlProp581.xml><?xml version="1.0" encoding="utf-8"?>
<formControlPr xmlns="http://schemas.microsoft.com/office/spreadsheetml/2009/9/main" objectType="Drop" dropLines="6" dropStyle="combo" dx="16" fmlaLink="$AD$53" fmlaRange="$AE$99:$AE$104" noThreeD="1" sel="3" val="0"/>
</file>

<file path=xl/ctrlProps/ctrlProp582.xml><?xml version="1.0" encoding="utf-8"?>
<formControlPr xmlns="http://schemas.microsoft.com/office/spreadsheetml/2009/9/main" objectType="Drop" dropStyle="combo" dx="16" fmlaLink="$H$152" fmlaRange="$G$153:$G$157" noThreeD="1" sel="1" val="0"/>
</file>

<file path=xl/ctrlProps/ctrlProp583.xml><?xml version="1.0" encoding="utf-8"?>
<formControlPr xmlns="http://schemas.microsoft.com/office/spreadsheetml/2009/9/main" objectType="Drop" dropStyle="combo" dx="16" fmlaLink="$F$152" fmlaRange="$E$153:$E$157" noThreeD="1" sel="1" val="0"/>
</file>

<file path=xl/ctrlProps/ctrlProp584.xml><?xml version="1.0" encoding="utf-8"?>
<formControlPr xmlns="http://schemas.microsoft.com/office/spreadsheetml/2009/9/main" objectType="Drop" dropStyle="combo" dx="16" fmlaLink="$F$152" fmlaRange="$E$153:$E$157" noThreeD="1" sel="1" val="0"/>
</file>

<file path=xl/ctrlProps/ctrlProp585.xml><?xml version="1.0" encoding="utf-8"?>
<formControlPr xmlns="http://schemas.microsoft.com/office/spreadsheetml/2009/9/main" objectType="Drop" dropLines="5" dropStyle="combo" dx="16" fmlaLink="$D$18" fmlaRange="$B$101:$B$105" noThreeD="1" sel="2" val="0"/>
</file>

<file path=xl/ctrlProps/ctrlProp586.xml><?xml version="1.0" encoding="utf-8"?>
<formControlPr xmlns="http://schemas.microsoft.com/office/spreadsheetml/2009/9/main" objectType="Drop" dropLines="9" dropStyle="combo" dx="16" fmlaLink="$H$18" fmlaRange="$F$101:$F$109" noThreeD="1" sel="3" val="0"/>
</file>

<file path=xl/ctrlProps/ctrlProp587.xml><?xml version="1.0" encoding="utf-8"?>
<formControlPr xmlns="http://schemas.microsoft.com/office/spreadsheetml/2009/9/main" objectType="Drop" dropLines="5" dropStyle="combo" dx="16" fmlaLink="$D$23" fmlaRange="$D$101:$D$105" noThreeD="1" sel="2" val="0"/>
</file>

<file path=xl/ctrlProps/ctrlProp588.xml><?xml version="1.0" encoding="utf-8"?>
<formControlPr xmlns="http://schemas.microsoft.com/office/spreadsheetml/2009/9/main" objectType="Drop" dropLines="9" dropStyle="combo" dx="16" fmlaLink="$G$23" fmlaRange="$F$101:$F$109" noThreeD="1" sel="4" val="0"/>
</file>

<file path=xl/ctrlProps/ctrlProp589.xml><?xml version="1.0" encoding="utf-8"?>
<formControlPr xmlns="http://schemas.microsoft.com/office/spreadsheetml/2009/9/main" objectType="Drop" dropLines="7" dropStyle="combo" dx="16" fmlaLink="$N$27" fmlaRange="$D$108:$D$114" noThreeD="1" sel="2" val="0"/>
</file>

<file path=xl/ctrlProps/ctrlProp590.xml><?xml version="1.0" encoding="utf-8"?>
<formControlPr xmlns="http://schemas.microsoft.com/office/spreadsheetml/2009/9/main" objectType="Drop" dropLines="6" dropStyle="combo" dx="16" fmlaLink="$P$27" fmlaRange="$B$108:$B$113"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jpg"/></Relationships>
</file>

<file path=xl/drawings/_rels/drawing8.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197</xdr:row>
          <xdr:rowOff>0</xdr:rowOff>
        </xdr:from>
        <xdr:to>
          <xdr:col>7</xdr:col>
          <xdr:colOff>0</xdr:colOff>
          <xdr:row>272</xdr:row>
          <xdr:rowOff>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197</xdr:row>
          <xdr:rowOff>0</xdr:rowOff>
        </xdr:from>
        <xdr:to>
          <xdr:col>7</xdr:col>
          <xdr:colOff>0</xdr:colOff>
          <xdr:row>272</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203</xdr:row>
          <xdr:rowOff>0</xdr:rowOff>
        </xdr:from>
        <xdr:to>
          <xdr:col>9</xdr:col>
          <xdr:colOff>809625</xdr:colOff>
          <xdr:row>272</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62" name="Drop Down -102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61" name="Drop Down -1021"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60" name="Drop Down -1020"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59" name="Drop Down -1019"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58" name="Drop Down -1018"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92" name="Drop Down -101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91" name="Drop Down -101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90" name="Drop Down -101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89" name="Drop Down -101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88" name="Drop Down -101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25" name="Drop Dow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32" name="Drop Dow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37" name="Drop Dow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36" name="Drop Dow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35" name="Drop Dow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33" name="Drop Dow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39" name="Drop Dow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38" name="Drop Dow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47" name="Drop Dow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46" name="Drop Dow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44" name="Drop Dow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52" name="Drop Dow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51" name="Drop Dow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50" name="Drop Dow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48" name="Drop Dow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57" name="Drop Dow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56" name="Drop Dow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55" name="Drop Dow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54" name="Drop Dow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53" name="Drop Dow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65" name="Drop Dow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61" name="Drop Dow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72" name="Drop Dow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98" name="Drop Dow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25" name="Drop Dow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30" name="Drop Dow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29" name="Drop Dow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33" name="Drop Dow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42" name="Drop Dow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40" name="Drop Dow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39" name="Drop Dow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38" name="Drop Dow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47" name="Drop Dow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46" name="Drop Dow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45" name="Drop Dow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44" name="Drop Dow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43" name="Drop Dow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52" name="Drop Dow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51" name="Drop Dow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50" name="Drop Dow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49" name="Drop Dow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48" name="Drop Dow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57" name="Drop Dow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56" name="Drop Dow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55" name="Drop Dow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54" name="Drop Dow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53" name="Drop Dow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62" name="Drop Dow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61" name="Drop Dow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60" name="Drop Dow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59" name="Drop Dow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58" name="Drop Dow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67" name="Drop Dow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66" name="Drop Down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65" name="Drop Dow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64" name="Drop Dow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63" name="Drop Dow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72" name="Drop Dow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71" name="Drop Dow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70" name="Drop Dow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68" name="Drop Dow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77" name="Drop Dow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76" name="Drop Dow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73" name="Drop Dow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82" name="Drop Dow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81" name="Drop Dow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80" name="Drop Dow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79" name="Drop Dow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78" name="Drop Dow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87" name="Drop Dow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86" name="Drop Dow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85" name="Drop Dow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84" name="Drop Dow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83" name="Drop Dow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92" name="Drop Dow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88" name="Drop Dow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97" name="Drop Dow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96" name="Drop Dow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95" name="Drop Dow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94" name="Drop Dow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02" name="Drop Dow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01" name="Drop Dow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00" name="Drop Dow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99" name="Drop Dow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07" name="Drop Dow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06" name="Drop Dow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60" name="Drop Dow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59" name="Drop Dow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65" name="Drop Dow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64" name="Drop Dow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63" name="Drop Down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62" name="Drop Down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61" name="Drop Dow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70" name="Drop Dow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69" name="Drop Dow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68" name="Drop Dow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67" name="Drop Dow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66" name="Drop Dow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75" name="Drop Dow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74" name="Drop Dow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73" name="Drop Dow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72" name="Drop Dow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71" name="Drop Dow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80" name="Drop Dow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79" name="Drop Dow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78" name="Drop Dow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77" name="Drop Dow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76" name="Drop Dow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85" name="Drop Down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84" name="Drop Down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83" name="Drop Down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82" name="Drop Dow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81" name="Drop Down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90" name="Drop Down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89" name="Drop Down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88" name="Drop Down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87" name="Drop Dow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86" name="Drop Down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95" name="Drop Down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94" name="Drop Down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93" name="Drop Down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92" name="Drop Dow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91" name="Drop Dow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00" name="Drop Dow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99" name="Drop Down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98" name="Drop Down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97" name="Drop Down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96" name="Drop Down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05" name="Drop Down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04" name="Drop Down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03" name="Drop Down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02" name="Drop Down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01" name="Drop Down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10" name="Drop Down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09" name="Drop Down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08" name="Drop Down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07" name="Drop Down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06" name="Drop Down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15" name="Drop Down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14" name="Drop Dow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13" name="Drop Down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12" name="Drop Down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11" name="Drop Down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20" name="Drop Dow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19" name="Drop Down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18" name="Drop Down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17" name="Drop Down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16" name="Drop Down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25" name="Drop Down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24" name="Drop Dow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23" name="Drop Down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22" name="Drop Down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21" name="Drop Down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30" name="Drop Dow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29" name="Drop Dow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28" name="Drop Dow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27" name="Drop Dow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26" name="Drop Dow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35" name="Drop Down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34" name="Drop Dow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33" name="Drop Dow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32" name="Drop Dow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31" name="Drop Dow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40" name="Drop Dow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39" name="Drop Down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38" name="Drop Dow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37" name="Drop Dow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36" name="Drop Dow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45" name="Drop Down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44" name="Drop Down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43" name="Drop Down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42" name="Drop Dow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41" name="Drop Dow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50" name="Drop Dow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49" name="Drop Dow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48" name="Drop Dow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47" name="Drop Dow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46" name="Drop Down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56" name="Drop Dow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55" name="Drop Dow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54" name="Drop Dow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53" name="Drop Dow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52" name="Drop Dow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51" name="Drop Dow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62" name="Drop Dow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61" name="Drop Down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60" name="Drop Dow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59" name="Drop Dow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58" name="Drop Dow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57" name="Drop Dow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68" name="Drop Dow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67" name="Drop Dow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66" name="Drop Down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65" name="Drop Down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64" name="Drop Dow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63" name="Drop Dow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74" name="Drop Dow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73" name="Drop Down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72" name="Drop Dow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71" name="Drop Down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70" name="Drop Down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69" name="Drop Down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80" name="Drop Dow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79" name="Drop Dow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78" name="Drop Down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77" name="Drop Dow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76" name="Drop Dow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75" name="Drop Dow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86" name="Drop Down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85" name="Drop Down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84" name="Drop Dow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83" name="Drop Dow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82" name="Drop Dow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81" name="Drop Dow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92" name="Drop Down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91" name="Drop Dow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90" name="Drop Dow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89" name="Drop Down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88" name="Drop Dow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87" name="Drop Dow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98" name="Drop Dow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97" name="Drop Dow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96" name="Drop Down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95" name="Drop Down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94" name="Drop Down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93" name="Drop Down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04" name="Drop Dow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03" name="Drop Dow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02" name="Drop Dow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01" name="Drop Dow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00" name="Drop Dow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99" name="Drop Dow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10" name="Drop Dow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09" name="Drop Dow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08" name="Drop Dow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07" name="Drop Dow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06" name="Drop Dow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05" name="Drop Dow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17" name="Drop Dow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16" name="Drop Dow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15" name="Drop Dow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14" name="Drop Dow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13" name="Drop Dow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12" name="Drop Dow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23" name="Drop Dow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22" name="Drop Dow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21" name="Drop Dow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20" name="Drop Dow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19" name="Drop Dow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18" name="Drop Dow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29" name="Drop Dow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28" name="Drop Dow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27" name="Drop Dow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26" name="Drop Dow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25" name="Drop Dow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24" name="Drop Dow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35" name="Drop Dow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34" name="Drop Dow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33" name="Drop Dow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32" name="Drop Dow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31" name="Drop Dow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30" name="Drop Dow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41" name="Drop Dow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40" name="Drop Dow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39" name="Drop Dow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37" name="Drop Dow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36" name="Drop Dow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47" name="Drop Dow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46" name="Drop Dow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45" name="Drop Dow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44" name="Drop Down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43" name="Drop Dow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42" name="Drop Dow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53" name="Drop Dow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52" name="Drop Dow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51" name="Drop Dow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50" name="Drop Dow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49" name="Drop Dow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48" name="Drop Dow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59" name="Drop Dow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58" name="Drop Dow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57" name="Drop Dow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56" name="Drop Dow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55" name="Drop Dow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54" name="Drop Dow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66" name="Drop Dow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65" name="Drop Dow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64" name="Drop Dow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63" name="Drop Dow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62" name="Drop Dow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61" name="Drop Dow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60" name="Drop Dow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72" name="Drop Dow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71" name="Drop Dow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70" name="Drop Dow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69" name="Drop Dow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68" name="Drop Dow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67" name="Drop Dow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78" name="Drop Dow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77" name="Drop Dow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76" name="Drop Dow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75" name="Drop Down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74" name="Drop Dow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73" name="Drop Dow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84" name="Drop Dow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83" name="Drop Dow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82" name="Drop Dow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81" name="Drop Dow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80" name="Drop Dow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79" name="Drop Dow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90" name="Drop Dow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89" name="Drop Dow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88" name="Drop Dow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87" name="Drop Dow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86" name="Drop Dow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85" name="Drop Dow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96" name="Drop Dow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95" name="Drop Dow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94" name="Drop Dow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93" name="Drop Dow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92" name="Drop Dow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91" name="Drop Dow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02" name="Drop Dow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01" name="Drop Dow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600" name="Drop Dow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99" name="Drop Dow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98" name="Drop Dow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97" name="Drop Dow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3" name="Drop Down -1021" hidden="1">
              <a:extLst>
                <a:ext uri="{63B3BB69-23CF-44E3-9099-C40C66FF867C}">
                  <a14:compatExt spid="_x0000_s3"/>
                </a:ext>
                <a:ext uri="{FF2B5EF4-FFF2-40B4-BE49-F238E27FC236}">
                  <a16:creationId xmlns:a16="http://schemas.microsoft.com/office/drawing/2014/main" id="{3D0733A3-79F3-1B61-07B6-2DDD460971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7" name="Drop Down -1017" hidden="1">
              <a:extLst>
                <a:ext uri="{63B3BB69-23CF-44E3-9099-C40C66FF867C}">
                  <a14:compatExt spid="_x0000_s7"/>
                </a:ext>
                <a:ext uri="{FF2B5EF4-FFF2-40B4-BE49-F238E27FC236}">
                  <a16:creationId xmlns:a16="http://schemas.microsoft.com/office/drawing/2014/main" id="{ADE120E3-8F4B-DF46-3E40-90C82F738DE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8" name="Drop Down -1016" hidden="1">
              <a:extLst>
                <a:ext uri="{63B3BB69-23CF-44E3-9099-C40C66FF867C}">
                  <a14:compatExt spid="_x0000_s8"/>
                </a:ext>
                <a:ext uri="{FF2B5EF4-FFF2-40B4-BE49-F238E27FC236}">
                  <a16:creationId xmlns:a16="http://schemas.microsoft.com/office/drawing/2014/main" id="{7EF87C99-5FC2-3964-A829-6FD22021CBA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9" name="Drop Down -1015" hidden="1">
              <a:extLst>
                <a:ext uri="{63B3BB69-23CF-44E3-9099-C40C66FF867C}">
                  <a14:compatExt spid="_x0000_s9"/>
                </a:ext>
                <a:ext uri="{FF2B5EF4-FFF2-40B4-BE49-F238E27FC236}">
                  <a16:creationId xmlns:a16="http://schemas.microsoft.com/office/drawing/2014/main" id="{460F9400-9897-0FCC-3A26-FD0802485F7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 name="Drop Down -1014" hidden="1">
              <a:extLst>
                <a:ext uri="{63B3BB69-23CF-44E3-9099-C40C66FF867C}">
                  <a14:compatExt spid="_x0000_s10"/>
                </a:ext>
                <a:ext uri="{FF2B5EF4-FFF2-40B4-BE49-F238E27FC236}">
                  <a16:creationId xmlns:a16="http://schemas.microsoft.com/office/drawing/2014/main" id="{B61666D8-82EC-3014-D248-D034D8F59B6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 name="Drop Down -1013" hidden="1">
              <a:extLst>
                <a:ext uri="{63B3BB69-23CF-44E3-9099-C40C66FF867C}">
                  <a14:compatExt spid="_x0000_s11"/>
                </a:ext>
                <a:ext uri="{FF2B5EF4-FFF2-40B4-BE49-F238E27FC236}">
                  <a16:creationId xmlns:a16="http://schemas.microsoft.com/office/drawing/2014/main" id="{57D00110-8631-3658-2E32-48F17AB8EFA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6</xdr:col>
      <xdr:colOff>0</xdr:colOff>
      <xdr:row>157</xdr:row>
      <xdr:rowOff>0</xdr:rowOff>
    </xdr:from>
    <xdr:to>
      <xdr:col>6</xdr:col>
      <xdr:colOff>219075</xdr:colOff>
      <xdr:row>157</xdr:row>
      <xdr:rowOff>152400</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0" y="33461325"/>
          <a:ext cx="219075" cy="152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08" name="Drop Dow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606" name="Drop Dow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605" name="Drop Dow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604" name="Drop Dow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603" name="Drop Dow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14" name="Drop Down 590" hidden="1">
              <a:extLst>
                <a:ext uri="{63B3BB69-23CF-44E3-9099-C40C66FF867C}">
                  <a14:compatExt spid="_x0000_s1614"/>
                </a:ext>
                <a:ext uri="{FF2B5EF4-FFF2-40B4-BE49-F238E27FC236}">
                  <a16:creationId xmlns:a16="http://schemas.microsoft.com/office/drawing/2014/main" id="{2AEA01A8-C851-E981-12AE-E28E11436BE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13" name="Drop Down 589" hidden="1">
              <a:extLst>
                <a:ext uri="{63B3BB69-23CF-44E3-9099-C40C66FF867C}">
                  <a14:compatExt spid="_x0000_s1613"/>
                </a:ext>
                <a:ext uri="{FF2B5EF4-FFF2-40B4-BE49-F238E27FC236}">
                  <a16:creationId xmlns:a16="http://schemas.microsoft.com/office/drawing/2014/main" id="{F72C75A9-DF52-7BD7-BF93-5EC1083E5DB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612" name="Drop Down 588" hidden="1">
              <a:extLst>
                <a:ext uri="{63B3BB69-23CF-44E3-9099-C40C66FF867C}">
                  <a14:compatExt spid="_x0000_s1612"/>
                </a:ext>
                <a:ext uri="{FF2B5EF4-FFF2-40B4-BE49-F238E27FC236}">
                  <a16:creationId xmlns:a16="http://schemas.microsoft.com/office/drawing/2014/main" id="{2341BDB4-1ECC-3C54-D8B9-C1BF617FFCD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611" name="Drop Down 587" hidden="1">
              <a:extLst>
                <a:ext uri="{63B3BB69-23CF-44E3-9099-C40C66FF867C}">
                  <a14:compatExt spid="_x0000_s1611"/>
                </a:ext>
                <a:ext uri="{FF2B5EF4-FFF2-40B4-BE49-F238E27FC236}">
                  <a16:creationId xmlns:a16="http://schemas.microsoft.com/office/drawing/2014/main" id="{29D12E5E-006A-E7F0-6C0E-7EC305329A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610" name="Drop Down 586" hidden="1">
              <a:extLst>
                <a:ext uri="{63B3BB69-23CF-44E3-9099-C40C66FF867C}">
                  <a14:compatExt spid="_x0000_s1610"/>
                </a:ext>
                <a:ext uri="{FF2B5EF4-FFF2-40B4-BE49-F238E27FC236}">
                  <a16:creationId xmlns:a16="http://schemas.microsoft.com/office/drawing/2014/main" id="{F311A9C4-147B-5826-C6D1-55B625A9C08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609" name="Drop Down 585" hidden="1">
              <a:extLst>
                <a:ext uri="{63B3BB69-23CF-44E3-9099-C40C66FF867C}">
                  <a14:compatExt spid="_x0000_s1609"/>
                </a:ext>
                <a:ext uri="{FF2B5EF4-FFF2-40B4-BE49-F238E27FC236}">
                  <a16:creationId xmlns:a16="http://schemas.microsoft.com/office/drawing/2014/main" id="{BE29130F-195B-EA6C-D161-B9A59B496F0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69098</xdr:colOff>
      <xdr:row>3</xdr:row>
      <xdr:rowOff>38101</xdr:rowOff>
    </xdr:to>
    <xdr:pic>
      <xdr:nvPicPr>
        <xdr:cNvPr id="2" name="Resi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0525"/>
          <a:ext cx="573923" cy="285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228600</xdr:colOff>
          <xdr:row>51</xdr:row>
          <xdr:rowOff>19050</xdr:rowOff>
        </xdr:from>
        <xdr:to>
          <xdr:col>28</xdr:col>
          <xdr:colOff>514350</xdr:colOff>
          <xdr:row>52</xdr:row>
          <xdr:rowOff>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51</xdr:row>
          <xdr:rowOff>19050</xdr:rowOff>
        </xdr:from>
        <xdr:to>
          <xdr:col>30</xdr:col>
          <xdr:colOff>381000</xdr:colOff>
          <xdr:row>52</xdr:row>
          <xdr:rowOff>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51</xdr:row>
          <xdr:rowOff>19050</xdr:rowOff>
        </xdr:from>
        <xdr:to>
          <xdr:col>28</xdr:col>
          <xdr:colOff>514350</xdr:colOff>
          <xdr:row>51</xdr:row>
          <xdr:rowOff>200025</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51</xdr:row>
          <xdr:rowOff>19050</xdr:rowOff>
        </xdr:from>
        <xdr:to>
          <xdr:col>30</xdr:col>
          <xdr:colOff>381000</xdr:colOff>
          <xdr:row>51</xdr:row>
          <xdr:rowOff>200025</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190500</xdr:rowOff>
    </xdr:from>
    <xdr:to>
      <xdr:col>12</xdr:col>
      <xdr:colOff>533400</xdr:colOff>
      <xdr:row>4</xdr:row>
      <xdr:rowOff>38100</xdr:rowOff>
    </xdr:to>
    <xdr:pic>
      <xdr:nvPicPr>
        <xdr:cNvPr id="4" name="Resim 10">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15" t="6496" r="4857" b="13062"/>
        <a:stretch>
          <a:fillRect/>
        </a:stretch>
      </xdr:blipFill>
      <xdr:spPr bwMode="auto">
        <a:xfrm>
          <a:off x="7677150" y="571500"/>
          <a:ext cx="11430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18</xdr:col>
      <xdr:colOff>371475</xdr:colOff>
      <xdr:row>2</xdr:row>
      <xdr:rowOff>85725</xdr:rowOff>
    </xdr:to>
    <xdr:pic>
      <xdr:nvPicPr>
        <xdr:cNvPr id="3" name="Resi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90500"/>
          <a:ext cx="40290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xdr:colOff>
      <xdr:row>2</xdr:row>
      <xdr:rowOff>352425</xdr:rowOff>
    </xdr:from>
    <xdr:to>
      <xdr:col>12</xdr:col>
      <xdr:colOff>371475</xdr:colOff>
      <xdr:row>6</xdr:row>
      <xdr:rowOff>28575</xdr:rowOff>
    </xdr:to>
    <xdr:pic>
      <xdr:nvPicPr>
        <xdr:cNvPr id="2" name="Resim 1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38" t="4103" r="6480" b="8650"/>
        <a:stretch>
          <a:fillRect/>
        </a:stretch>
      </xdr:blipFill>
      <xdr:spPr bwMode="auto">
        <a:xfrm>
          <a:off x="7696200" y="733425"/>
          <a:ext cx="9620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19</xdr:col>
      <xdr:colOff>409575</xdr:colOff>
      <xdr:row>2</xdr:row>
      <xdr:rowOff>123825</xdr:rowOff>
    </xdr:to>
    <xdr:pic>
      <xdr:nvPicPr>
        <xdr:cNvPr id="3" name="Resim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90500"/>
          <a:ext cx="46767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2</xdr:row>
      <xdr:rowOff>371475</xdr:rowOff>
    </xdr:from>
    <xdr:to>
      <xdr:col>12</xdr:col>
      <xdr:colOff>257175</xdr:colOff>
      <xdr:row>6</xdr:row>
      <xdr:rowOff>47625</xdr:rowOff>
    </xdr:to>
    <xdr:pic>
      <xdr:nvPicPr>
        <xdr:cNvPr id="2" name="Resim 1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81" t="2774" r="4543" b="5246"/>
        <a:stretch>
          <a:fillRect/>
        </a:stretch>
      </xdr:blipFill>
      <xdr:spPr bwMode="auto">
        <a:xfrm>
          <a:off x="7715250" y="752475"/>
          <a:ext cx="8286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23</xdr:col>
      <xdr:colOff>66675</xdr:colOff>
      <xdr:row>2</xdr:row>
      <xdr:rowOff>57150</xdr:rowOff>
    </xdr:to>
    <xdr:pic>
      <xdr:nvPicPr>
        <xdr:cNvPr id="3" name="Resim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90500"/>
          <a:ext cx="43338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19050</xdr:colOff>
      <xdr:row>2</xdr:row>
      <xdr:rowOff>352425</xdr:rowOff>
    </xdr:from>
    <xdr:to>
      <xdr:col>21</xdr:col>
      <xdr:colOff>200025</xdr:colOff>
      <xdr:row>7</xdr:row>
      <xdr:rowOff>38100</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3550" y="733425"/>
          <a:ext cx="2009775" cy="847725"/>
        </a:xfrm>
        <a:prstGeom prst="rect">
          <a:avLst/>
        </a:prstGeom>
      </xdr:spPr>
    </xdr:pic>
    <xdr:clientData/>
  </xdr:twoCellAnchor>
  <xdr:twoCellAnchor editAs="oneCell">
    <xdr:from>
      <xdr:col>14</xdr:col>
      <xdr:colOff>0</xdr:colOff>
      <xdr:row>1</xdr:row>
      <xdr:rowOff>0</xdr:rowOff>
    </xdr:from>
    <xdr:to>
      <xdr:col>23</xdr:col>
      <xdr:colOff>523875</xdr:colOff>
      <xdr:row>2</xdr:row>
      <xdr:rowOff>152400</xdr:rowOff>
    </xdr:to>
    <xdr:pic>
      <xdr:nvPicPr>
        <xdr:cNvPr id="3" name="Resim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0" y="190500"/>
          <a:ext cx="35718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180975</xdr:colOff>
      <xdr:row>17</xdr:row>
      <xdr:rowOff>66675</xdr:rowOff>
    </xdr:from>
    <xdr:to>
      <xdr:col>6</xdr:col>
      <xdr:colOff>164066</xdr:colOff>
      <xdr:row>31</xdr:row>
      <xdr:rowOff>115540</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3886200"/>
          <a:ext cx="5298041" cy="3068290"/>
        </a:xfrm>
        <a:prstGeom prst="rect">
          <a:avLst/>
        </a:prstGeom>
      </xdr:spPr>
    </xdr:pic>
    <xdr:clientData/>
  </xdr:twoCellAnchor>
  <xdr:twoCellAnchor editAs="oneCell">
    <xdr:from>
      <xdr:col>17</xdr:col>
      <xdr:colOff>180975</xdr:colOff>
      <xdr:row>31</xdr:row>
      <xdr:rowOff>28574</xdr:rowOff>
    </xdr:from>
    <xdr:to>
      <xdr:col>23</xdr:col>
      <xdr:colOff>0</xdr:colOff>
      <xdr:row>33</xdr:row>
      <xdr:rowOff>110009</xdr:rowOff>
    </xdr:to>
    <xdr:pic>
      <xdr:nvPicPr>
        <xdr:cNvPr id="7" name="Resim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1066799"/>
          <a:ext cx="3457575" cy="462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238125</xdr:colOff>
      <xdr:row>28</xdr:row>
      <xdr:rowOff>19051</xdr:rowOff>
    </xdr:from>
    <xdr:to>
      <xdr:col>23</xdr:col>
      <xdr:colOff>180975</xdr:colOff>
      <xdr:row>29</xdr:row>
      <xdr:rowOff>298426</xdr:rowOff>
    </xdr:to>
    <xdr:pic>
      <xdr:nvPicPr>
        <xdr:cNvPr id="8" name="Resim 7">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525" y="485776"/>
          <a:ext cx="3581400" cy="4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19050</xdr:colOff>
          <xdr:row>8</xdr:row>
          <xdr:rowOff>9525</xdr:rowOff>
        </xdr:from>
        <xdr:to>
          <xdr:col>24</xdr:col>
          <xdr:colOff>552450</xdr:colOff>
          <xdr:row>9</xdr:row>
          <xdr:rowOff>9525</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0D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19</xdr:col>
      <xdr:colOff>38100</xdr:colOff>
      <xdr:row>14</xdr:row>
      <xdr:rowOff>123825</xdr:rowOff>
    </xdr:from>
    <xdr:to>
      <xdr:col>23</xdr:col>
      <xdr:colOff>114300</xdr:colOff>
      <xdr:row>21</xdr:row>
      <xdr:rowOff>162149</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29925" y="2952750"/>
          <a:ext cx="2514600" cy="14575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xdr:row>
          <xdr:rowOff>171450</xdr:rowOff>
        </xdr:from>
        <xdr:to>
          <xdr:col>3</xdr:col>
          <xdr:colOff>590550</xdr:colOff>
          <xdr:row>2</xdr:row>
          <xdr:rowOff>171450</xdr:rowOff>
        </xdr:to>
        <xdr:sp macro="" textlink="">
          <xdr:nvSpPr>
            <xdr:cNvPr id="24582" name="Drop Down 6" hidden="1">
              <a:extLst>
                <a:ext uri="{63B3BB69-23CF-44E3-9099-C40C66FF867C}">
                  <a14:compatExt spid="_x0000_s24582"/>
                </a:ext>
                <a:ext uri="{FF2B5EF4-FFF2-40B4-BE49-F238E27FC236}">
                  <a16:creationId xmlns:a16="http://schemas.microsoft.com/office/drawing/2014/main" id="{00000000-0008-0000-0D00-00000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171450</xdr:rowOff>
        </xdr:from>
        <xdr:to>
          <xdr:col>3</xdr:col>
          <xdr:colOff>590550</xdr:colOff>
          <xdr:row>37</xdr:row>
          <xdr:rowOff>171450</xdr:rowOff>
        </xdr:to>
        <xdr:sp macro="" textlink="">
          <xdr:nvSpPr>
            <xdr:cNvPr id="24586" name="Drop Down 10" hidden="1">
              <a:extLst>
                <a:ext uri="{63B3BB69-23CF-44E3-9099-C40C66FF867C}">
                  <a14:compatExt spid="_x0000_s24586"/>
                </a:ext>
                <a:ext uri="{FF2B5EF4-FFF2-40B4-BE49-F238E27FC236}">
                  <a16:creationId xmlns:a16="http://schemas.microsoft.com/office/drawing/2014/main" id="{00000000-0008-0000-0D00-00000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180975</xdr:colOff>
      <xdr:row>74</xdr:row>
      <xdr:rowOff>28574</xdr:rowOff>
    </xdr:from>
    <xdr:to>
      <xdr:col>6</xdr:col>
      <xdr:colOff>590550</xdr:colOff>
      <xdr:row>76</xdr:row>
      <xdr:rowOff>90959</xdr:rowOff>
    </xdr:to>
    <xdr:pic>
      <xdr:nvPicPr>
        <xdr:cNvPr id="9" name="Resim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1066799"/>
          <a:ext cx="3457575" cy="462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238125</xdr:colOff>
      <xdr:row>71</xdr:row>
      <xdr:rowOff>19051</xdr:rowOff>
    </xdr:from>
    <xdr:to>
      <xdr:col>7</xdr:col>
      <xdr:colOff>161925</xdr:colOff>
      <xdr:row>73</xdr:row>
      <xdr:rowOff>88876</xdr:rowOff>
    </xdr:to>
    <xdr:pic>
      <xdr:nvPicPr>
        <xdr:cNvPr id="10" name="Resim 9">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525" y="485776"/>
          <a:ext cx="3581400" cy="4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223</xdr:row>
      <xdr:rowOff>0</xdr:rowOff>
    </xdr:from>
    <xdr:to>
      <xdr:col>10</xdr:col>
      <xdr:colOff>384774</xdr:colOff>
      <xdr:row>258</xdr:row>
      <xdr:rowOff>47624</xdr:rowOff>
    </xdr:to>
    <xdr:pic>
      <xdr:nvPicPr>
        <xdr:cNvPr id="2" name="Resim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852975"/>
          <a:ext cx="5934075" cy="671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300868</xdr:colOff>
      <xdr:row>1</xdr:row>
      <xdr:rowOff>76201</xdr:rowOff>
    </xdr:from>
    <xdr:to>
      <xdr:col>20</xdr:col>
      <xdr:colOff>85725</xdr:colOff>
      <xdr:row>16</xdr:row>
      <xdr:rowOff>104776</xdr:rowOff>
    </xdr:to>
    <xdr:pic>
      <xdr:nvPicPr>
        <xdr:cNvPr id="2" name="Resim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6068" y="266701"/>
          <a:ext cx="4661657"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16</xdr:row>
          <xdr:rowOff>0</xdr:rowOff>
        </xdr:from>
        <xdr:to>
          <xdr:col>4</xdr:col>
          <xdr:colOff>533400</xdr:colOff>
          <xdr:row>16</xdr:row>
          <xdr:rowOff>200025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11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190500</xdr:rowOff>
        </xdr:from>
        <xdr:to>
          <xdr:col>8</xdr:col>
          <xdr:colOff>180975</xdr:colOff>
          <xdr:row>16</xdr:row>
          <xdr:rowOff>190500</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11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21</xdr:row>
          <xdr:rowOff>19050</xdr:rowOff>
        </xdr:from>
        <xdr:to>
          <xdr:col>4</xdr:col>
          <xdr:colOff>514350</xdr:colOff>
          <xdr:row>22</xdr:row>
          <xdr:rowOff>9525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11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28575</xdr:rowOff>
        </xdr:from>
        <xdr:to>
          <xdr:col>8</xdr:col>
          <xdr:colOff>228600</xdr:colOff>
          <xdr:row>22</xdr:row>
          <xdr:rowOff>19050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11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25</xdr:row>
          <xdr:rowOff>19050</xdr:rowOff>
        </xdr:from>
        <xdr:to>
          <xdr:col>14</xdr:col>
          <xdr:colOff>514350</xdr:colOff>
          <xdr:row>26</xdr:row>
          <xdr:rowOff>9525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11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25</xdr:row>
          <xdr:rowOff>19050</xdr:rowOff>
        </xdr:from>
        <xdr:to>
          <xdr:col>16</xdr:col>
          <xdr:colOff>381000</xdr:colOff>
          <xdr:row>26</xdr:row>
          <xdr:rowOff>9525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11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13</xdr:col>
      <xdr:colOff>123825</xdr:colOff>
      <xdr:row>0</xdr:row>
      <xdr:rowOff>271462</xdr:rowOff>
    </xdr:from>
    <xdr:to>
      <xdr:col>18</xdr:col>
      <xdr:colOff>142875</xdr:colOff>
      <xdr:row>13</xdr:row>
      <xdr:rowOff>133350</xdr:rowOff>
    </xdr:to>
    <xdr:graphicFrame macro="">
      <xdr:nvGraphicFramePr>
        <xdr:cNvPr id="2" name="Grafik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omments" Target="../comments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58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580.xml"/><Relationship Id="rId5" Type="http://schemas.openxmlformats.org/officeDocument/2006/relationships/ctrlProp" Target="../ctrlProps/ctrlProp579.xml"/><Relationship Id="rId4" Type="http://schemas.openxmlformats.org/officeDocument/2006/relationships/ctrlProp" Target="../ctrlProps/ctrlProp57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5.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584.xml"/><Relationship Id="rId5" Type="http://schemas.openxmlformats.org/officeDocument/2006/relationships/ctrlProp" Target="../ctrlProps/ctrlProp583.xml"/><Relationship Id="rId4" Type="http://schemas.openxmlformats.org/officeDocument/2006/relationships/ctrlProp" Target="../ctrlProps/ctrlProp58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89.xml"/><Relationship Id="rId3" Type="http://schemas.openxmlformats.org/officeDocument/2006/relationships/vmlDrawing" Target="../drawings/vmlDrawing9.vml"/><Relationship Id="rId7" Type="http://schemas.openxmlformats.org/officeDocument/2006/relationships/ctrlProp" Target="../ctrlProps/ctrlProp588.x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trlProp" Target="../ctrlProps/ctrlProp587.xml"/><Relationship Id="rId5" Type="http://schemas.openxmlformats.org/officeDocument/2006/relationships/ctrlProp" Target="../ctrlProps/ctrlProp586.xml"/><Relationship Id="rId4" Type="http://schemas.openxmlformats.org/officeDocument/2006/relationships/ctrlProp" Target="../ctrlProps/ctrlProp585.xml"/><Relationship Id="rId9" Type="http://schemas.openxmlformats.org/officeDocument/2006/relationships/ctrlProp" Target="../ctrlProps/ctrlProp59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272"/>
  <sheetViews>
    <sheetView tabSelected="1" workbookViewId="0">
      <selection activeCell="G14" sqref="G14"/>
    </sheetView>
  </sheetViews>
  <sheetFormatPr defaultRowHeight="15"/>
  <cols>
    <col min="1" max="1" width="51.140625" style="1" customWidth="1"/>
    <col min="2" max="2" width="16" style="1" customWidth="1"/>
    <col min="3" max="4" width="18.42578125" style="319" customWidth="1"/>
    <col min="5" max="5" width="6" style="1" customWidth="1"/>
    <col min="6" max="6" width="5.7109375" style="1" customWidth="1"/>
    <col min="7" max="8" width="5.42578125" style="1" customWidth="1"/>
    <col min="9" max="9" width="9.7109375" style="1" customWidth="1"/>
    <col min="10" max="10" width="12.28515625" style="1" customWidth="1"/>
    <col min="11" max="11" width="9.7109375" style="1" customWidth="1"/>
    <col min="12" max="12" width="11.140625" style="1" customWidth="1"/>
    <col min="13" max="13" width="14.28515625" style="1" customWidth="1"/>
    <col min="14" max="16384" width="9.140625" style="1"/>
  </cols>
  <sheetData>
    <row r="1" spans="1:29" ht="16.5" customHeight="1" thickBot="1">
      <c r="A1" s="893" t="s">
        <v>46</v>
      </c>
      <c r="B1" s="3"/>
      <c r="C1" s="561" t="s">
        <v>734</v>
      </c>
      <c r="D1" s="23"/>
      <c r="E1" s="24"/>
      <c r="F1" s="25" t="s">
        <v>367</v>
      </c>
      <c r="G1" s="26"/>
      <c r="H1" s="26"/>
      <c r="I1" s="27"/>
      <c r="J1" s="27"/>
      <c r="K1" s="50"/>
      <c r="L1" s="3"/>
      <c r="N1" s="2" t="s">
        <v>206</v>
      </c>
      <c r="U1" s="857"/>
      <c r="V1" s="857"/>
    </row>
    <row r="2" spans="1:29" ht="15" customHeight="1" thickBot="1">
      <c r="A2" s="894"/>
      <c r="B2" s="3"/>
      <c r="C2" s="23"/>
      <c r="D2" s="23"/>
      <c r="E2" s="3"/>
      <c r="F2" s="3"/>
      <c r="G2" s="262" t="str">
        <f>IF(AND(C7&lt;180,C7&gt;=0.1),"Zayıf Zemin",IF(AND(C7&gt;180,C7&lt;=360),"Sert/Sıkı ",IF(AND(C7&gt;360,C7&lt;=760),"ÇokSıkı Sert Zemin/ Y. Kaya",IF(AND(C7&gt;760,C7&lt;=1500),"Kaya",IF(C7=0,"",IF(C7&gt;1500,"Sert Kaya"))))))</f>
        <v/>
      </c>
      <c r="H2" s="265"/>
      <c r="I2" s="265"/>
      <c r="J2" s="265"/>
      <c r="K2" s="870" t="s">
        <v>129</v>
      </c>
      <c r="L2" s="3"/>
      <c r="M2" s="3"/>
      <c r="N2" s="3"/>
      <c r="O2" s="3"/>
      <c r="P2" s="3"/>
      <c r="Q2" s="3"/>
      <c r="R2" s="3"/>
      <c r="S2" s="3"/>
      <c r="T2" s="3"/>
      <c r="U2" s="857"/>
      <c r="V2" s="857"/>
    </row>
    <row r="3" spans="1:29" ht="21" thickBot="1">
      <c r="A3" s="889" t="s">
        <v>419</v>
      </c>
      <c r="B3" s="890"/>
      <c r="C3" s="890"/>
      <c r="D3" s="890"/>
      <c r="E3" s="865"/>
      <c r="F3" s="866"/>
      <c r="G3" s="263"/>
      <c r="H3" s="867" t="str">
        <f>IF(AND(D7&lt;180,D7&gt;=0.1),"Zayıf",IF(AND(D7&gt;180,D7&lt;=360),"Sert/Sıkı ",IF(AND(D7&gt;360,D7&lt;=760),"ÇokSıkı Sert Zemin/ Y. Kaya",IF(AND(D7&gt;760,D7&lt;=1500),"Kaya",IF(D7=0,"",IF(D7&gt;1500,"Sert Kaya"))))))</f>
        <v/>
      </c>
      <c r="I3" s="867"/>
      <c r="J3" s="867"/>
      <c r="K3" s="871"/>
      <c r="L3" s="3"/>
      <c r="M3" s="3"/>
      <c r="N3" s="3"/>
      <c r="O3" s="3"/>
      <c r="P3" s="3"/>
      <c r="Q3" s="3"/>
      <c r="R3" s="3"/>
      <c r="S3" s="3"/>
      <c r="T3" s="3"/>
    </row>
    <row r="4" spans="1:29" ht="15.75" customHeight="1" thickBot="1">
      <c r="A4" s="891" t="s">
        <v>0</v>
      </c>
      <c r="B4" s="887" t="s">
        <v>1</v>
      </c>
      <c r="C4" s="28" t="s">
        <v>52</v>
      </c>
      <c r="D4" s="242" t="s">
        <v>53</v>
      </c>
      <c r="E4" s="866"/>
      <c r="F4" s="866"/>
      <c r="G4" s="263"/>
      <c r="H4" s="91"/>
      <c r="I4" s="868" t="s">
        <v>2</v>
      </c>
      <c r="J4" s="869"/>
      <c r="K4" s="868" t="s">
        <v>3</v>
      </c>
      <c r="L4" s="869"/>
      <c r="M4" s="3"/>
      <c r="P4" s="67" t="s">
        <v>101</v>
      </c>
      <c r="Q4" s="67"/>
      <c r="R4" s="67"/>
      <c r="S4" s="67"/>
      <c r="T4" s="67"/>
      <c r="U4" s="67"/>
      <c r="V4" s="67"/>
      <c r="W4" s="67"/>
      <c r="X4" s="67"/>
      <c r="Y4" s="67"/>
      <c r="Z4" s="67"/>
      <c r="AA4" s="67"/>
      <c r="AB4" s="67"/>
      <c r="AC4" s="67"/>
    </row>
    <row r="5" spans="1:29" ht="15.75" customHeight="1" thickBot="1">
      <c r="A5" s="892"/>
      <c r="B5" s="888"/>
      <c r="C5" s="261" t="str">
        <f>G7</f>
        <v/>
      </c>
      <c r="D5" s="260" t="str">
        <f>H7</f>
        <v/>
      </c>
      <c r="E5" s="885" t="s">
        <v>457</v>
      </c>
      <c r="F5" s="886"/>
      <c r="G5" s="263"/>
      <c r="H5" s="91"/>
      <c r="I5" s="840" t="s">
        <v>22</v>
      </c>
      <c r="J5" s="841"/>
      <c r="K5" s="841"/>
      <c r="L5" s="841"/>
      <c r="M5" s="559" t="s">
        <v>475</v>
      </c>
      <c r="N5" s="880" t="s">
        <v>87</v>
      </c>
      <c r="O5" s="880" t="s">
        <v>72</v>
      </c>
      <c r="P5" s="880" t="s">
        <v>88</v>
      </c>
      <c r="Q5" s="880" t="s">
        <v>89</v>
      </c>
      <c r="R5" s="880" t="s">
        <v>90</v>
      </c>
      <c r="S5" s="880" t="s">
        <v>102</v>
      </c>
      <c r="T5" s="880" t="s">
        <v>11</v>
      </c>
      <c r="U5" s="880" t="s">
        <v>13</v>
      </c>
      <c r="V5" s="880" t="s">
        <v>91</v>
      </c>
      <c r="W5" s="880" t="s">
        <v>92</v>
      </c>
      <c r="X5" s="880" t="s">
        <v>93</v>
      </c>
      <c r="Y5" s="880" t="s">
        <v>525</v>
      </c>
      <c r="Z5" s="881" t="s">
        <v>69</v>
      </c>
      <c r="AA5" s="881"/>
      <c r="AB5" s="881" t="s">
        <v>55</v>
      </c>
      <c r="AC5" s="881"/>
    </row>
    <row r="6" spans="1:29" ht="15.75" customHeight="1" thickBot="1">
      <c r="A6" s="29" t="s">
        <v>4</v>
      </c>
      <c r="B6" s="30" t="s">
        <v>5</v>
      </c>
      <c r="C6" s="90"/>
      <c r="D6" s="90"/>
      <c r="E6" s="3"/>
      <c r="F6" s="3"/>
      <c r="G6" s="263"/>
      <c r="H6" s="91"/>
      <c r="I6" s="836" t="str">
        <f>IF(AND(C6&gt;1,C6&lt;=600),"Çok kolay",IF(AND(C6&gt;1500,C6&lt;=2100),"Zor",IF(AND(C6&gt;600,C6&lt;=900),"Kolay",IF(AND(C6&gt;900,C6&lt;=1500),"Orta",IF(AND(C6&gt;2100,C6&lt;=2400),"Çok Zor",IF(C6=0," ",IF(C6&gt;2400,"Son Derece Zor")))))))</f>
        <v xml:space="preserve"> </v>
      </c>
      <c r="J6" s="837"/>
      <c r="K6" s="836" t="str">
        <f>IF(AND(D6&gt;1,D6&lt;=600),"Çok kolay",IF(AND(D6&gt;1500,D6&lt;=2100),"Zor",IF(AND(D6&gt;600,D6&lt;=900),"Kolay",IF(AND(D6&gt;900,D6&lt;=1500),"Orta",IF(AND(D6&gt;2100,D6&lt;=2400),"Çok Zor",IF(D6=0,"",IF(D6&gt;2400,"Son Derece Zor")))))))</f>
        <v/>
      </c>
      <c r="L6" s="837"/>
      <c r="M6" s="3"/>
      <c r="N6" s="880"/>
      <c r="O6" s="880"/>
      <c r="P6" s="880"/>
      <c r="Q6" s="880"/>
      <c r="R6" s="880"/>
      <c r="S6" s="880"/>
      <c r="T6" s="880"/>
      <c r="U6" s="880"/>
      <c r="V6" s="880"/>
      <c r="W6" s="880"/>
      <c r="X6" s="880"/>
      <c r="Y6" s="880"/>
      <c r="Z6" s="881"/>
      <c r="AA6" s="881"/>
      <c r="AB6" s="881"/>
      <c r="AC6" s="881"/>
    </row>
    <row r="7" spans="1:29" ht="15.75" customHeight="1" thickBot="1">
      <c r="A7" s="31" t="s">
        <v>6</v>
      </c>
      <c r="B7" s="32" t="s">
        <v>7</v>
      </c>
      <c r="C7" s="90"/>
      <c r="D7" s="90"/>
      <c r="E7" s="899"/>
      <c r="F7" s="900"/>
      <c r="G7" s="264" t="str">
        <f>IF(AND(C7&lt;=180,C7&gt;0.1),"E",IF(AND(C7&gt;180,C7&lt;=360),"D",IF(AND(C7&gt;360,C7&lt;=760),"C",IF(AND(C7&gt;760,C7&lt;=1500),"B",IF(C7=0,"",IF(C7&gt;1500,"A"))))))</f>
        <v/>
      </c>
      <c r="H7" s="259" t="str">
        <f>IF(AND(D7&lt;=180,D7&gt;0.1),"E",IF(AND(D7&gt;180,D7&lt;=360),"D",IF(AND(D7&gt;360,D7&lt;=760),"C",IF(AND(D7&gt;760,D7&lt;=1500),"B",IF(D7=0,"",IF(D7&gt;1500,"A"))))))</f>
        <v/>
      </c>
      <c r="I7" s="840" t="s">
        <v>23</v>
      </c>
      <c r="J7" s="841"/>
      <c r="K7" s="841"/>
      <c r="L7" s="841"/>
      <c r="M7" s="282" t="s">
        <v>474</v>
      </c>
      <c r="N7" s="911" t="s">
        <v>95</v>
      </c>
      <c r="O7" s="158">
        <v>1</v>
      </c>
      <c r="P7" s="159">
        <f>C6</f>
        <v>0</v>
      </c>
      <c r="Q7" s="159">
        <f>C7</f>
        <v>0</v>
      </c>
      <c r="R7" s="913">
        <f>C8</f>
        <v>0</v>
      </c>
      <c r="S7" s="160">
        <f>C9</f>
        <v>0</v>
      </c>
      <c r="T7" s="160" t="e">
        <f>C10</f>
        <v>#DIV/0!</v>
      </c>
      <c r="U7" s="161" t="e">
        <f>C11</f>
        <v>#DIV/0!</v>
      </c>
      <c r="V7" s="159">
        <f>C12</f>
        <v>0</v>
      </c>
      <c r="W7" s="159" t="e">
        <f>C13</f>
        <v>#DIV/0!</v>
      </c>
      <c r="X7" s="159">
        <f>C14</f>
        <v>0</v>
      </c>
      <c r="Y7" s="882">
        <f>C25</f>
        <v>0</v>
      </c>
      <c r="Z7" s="873"/>
      <c r="AA7" s="874"/>
      <c r="AB7" s="905"/>
      <c r="AC7" s="906"/>
    </row>
    <row r="8" spans="1:29" ht="16.5" thickBot="1">
      <c r="A8" s="31" t="s">
        <v>192</v>
      </c>
      <c r="B8" s="32" t="s">
        <v>193</v>
      </c>
      <c r="C8" s="830"/>
      <c r="D8" s="831"/>
      <c r="E8" s="19"/>
      <c r="F8" s="19"/>
      <c r="G8" s="3"/>
      <c r="H8" s="3"/>
      <c r="I8" s="836" t="str">
        <f>IF(AND(C9&gt;1.2,C9&lt;=1.4),"Düşük",IF(AND(C9&gt;1.4,C9&lt;=1.9),"Orta",IF(AND(C9&gt;1.9,C9&lt;=2.2),"Yüksek",IF(C9=0,"",IF(AND(C9&lt;1.2,C9&gt;0.1),"Çok Düşük",IF(D9&gt;2.2,"Çok Yüksek"))))))</f>
        <v/>
      </c>
      <c r="J8" s="837"/>
      <c r="K8" s="836" t="str">
        <f>IF(AND(D9&gt;1.2,D9&lt;=1.4),"Düşük",IF(AND(D9&gt;1.4,D9&lt;=1.9),"Orta",IF(AND(D9&gt;1.9,D9&lt;=2.2),"Yüksek",IF(D9=0,"",IF(AND(D9&lt;1.2,D9&gt;0.1),"Çok Düşük",IF(D9&gt;2.2,"Çok Yüksek"))))))</f>
        <v/>
      </c>
      <c r="L8" s="837"/>
      <c r="M8" s="3"/>
      <c r="N8" s="912"/>
      <c r="O8" s="162">
        <v>2</v>
      </c>
      <c r="P8" s="323">
        <f>D6</f>
        <v>0</v>
      </c>
      <c r="Q8" s="323">
        <f>D7</f>
        <v>0</v>
      </c>
      <c r="R8" s="913"/>
      <c r="S8" s="243">
        <f>D9</f>
        <v>0</v>
      </c>
      <c r="T8" s="243" t="e">
        <f>D10</f>
        <v>#DIV/0!</v>
      </c>
      <c r="U8" s="324" t="e">
        <f>D11</f>
        <v>#DIV/0!</v>
      </c>
      <c r="V8" s="323">
        <f>D12</f>
        <v>0</v>
      </c>
      <c r="W8" s="323" t="e">
        <f>D13</f>
        <v>#DIV/0!</v>
      </c>
      <c r="X8" s="323">
        <f>D14</f>
        <v>0</v>
      </c>
      <c r="Y8" s="882"/>
      <c r="Z8" s="873"/>
      <c r="AA8" s="874"/>
      <c r="AB8" s="907"/>
      <c r="AC8" s="908"/>
    </row>
    <row r="9" spans="1:29" ht="16.5" thickBot="1">
      <c r="A9" s="31" t="s">
        <v>8</v>
      </c>
      <c r="B9" s="32" t="s">
        <v>9</v>
      </c>
      <c r="C9" s="14">
        <f>ROUND(D237,2)</f>
        <v>0</v>
      </c>
      <c r="D9" s="325">
        <f>ROUND(E237,2)</f>
        <v>0</v>
      </c>
      <c r="E9" s="896"/>
      <c r="F9" s="897"/>
      <c r="G9" s="898"/>
      <c r="H9" s="3"/>
      <c r="I9" s="840" t="s">
        <v>24</v>
      </c>
      <c r="J9" s="841"/>
      <c r="K9" s="841"/>
      <c r="L9" s="842"/>
      <c r="M9" s="282" t="s">
        <v>476</v>
      </c>
      <c r="N9" s="878" t="s">
        <v>96</v>
      </c>
      <c r="O9" s="162">
        <v>1</v>
      </c>
      <c r="P9" s="323">
        <f>C33</f>
        <v>0</v>
      </c>
      <c r="Q9" s="323">
        <f>C34</f>
        <v>0</v>
      </c>
      <c r="R9" s="875">
        <f>C35</f>
        <v>0</v>
      </c>
      <c r="S9" s="243">
        <f>C36</f>
        <v>0</v>
      </c>
      <c r="T9" s="243" t="e">
        <f>C37</f>
        <v>#DIV/0!</v>
      </c>
      <c r="U9" s="324" t="e">
        <f>C38</f>
        <v>#DIV/0!</v>
      </c>
      <c r="V9" s="323">
        <f>C39</f>
        <v>0</v>
      </c>
      <c r="W9" s="323" t="e">
        <f>C40</f>
        <v>#DIV/0!</v>
      </c>
      <c r="X9" s="323">
        <f>C41</f>
        <v>0</v>
      </c>
      <c r="Y9" s="877">
        <f>C52</f>
        <v>0</v>
      </c>
      <c r="Z9" s="873"/>
      <c r="AA9" s="874"/>
      <c r="AB9" s="909"/>
      <c r="AC9" s="910"/>
    </row>
    <row r="10" spans="1:29" ht="16.5" thickBot="1">
      <c r="A10" s="31" t="s">
        <v>10</v>
      </c>
      <c r="B10" s="32" t="s">
        <v>11</v>
      </c>
      <c r="C10" s="14" t="e">
        <f>C6/C7</f>
        <v>#DIV/0!</v>
      </c>
      <c r="D10" s="14" t="e">
        <f>D6/D7</f>
        <v>#DIV/0!</v>
      </c>
      <c r="E10" s="49"/>
      <c r="F10" s="49"/>
      <c r="G10" s="3"/>
      <c r="H10" s="3"/>
      <c r="I10" s="836" t="str">
        <f>IF(ISERROR(IF(AND(C10&gt;1.5,C10&lt;=1.71),"Katı",IF(AND(C10&gt;1.71,C10&lt;=1.87),"Sıkı-Katı",IF(AND(C10&gt;1.87,C10&lt;=2.49),"Gevşek",IF(AND(C10&gt;2.49,C10&lt;=3),"Çok Gevşek",IF(C10&lt;=1.5,"Sağlam Kaya",IF(C10&gt;3,"Cıvık-Sıvı"))))))),"",IF(AND(C10&gt;1.5,C10&lt;=1.71),"Katı",IF(AND(C10&gt;1.71,C10&lt;=1.87),"Sıkı-Katı",IF(AND(C10&gt;1.87,C10&lt;=2.49),"Gevşek",IF(AND(C10&gt;2.49,C10&lt;=3),"Çok Gevşek",IF(C10&lt;=1.5,"Sağlam Kaya",IF(C10&gt;3,"Cıvık-Sıvı")))))))</f>
        <v/>
      </c>
      <c r="J10" s="843"/>
      <c r="K10" s="836" t="str">
        <f>IF(ISERROR(IF(AND(D10&gt;1.5,D10&lt;=1.71),"Katı",IF(AND(D10&gt;1.72,D10&lt;=1.87),"Sıkı-Katı",IF(AND(D10&gt;1.87,D10&lt;=2.49),"Gevşek",IF(AND(D10&gt;2.49,D10&lt;=3),"Çok Gevşek",IF(D10&lt;=1.5,"Sağlam Kaya",IF(D10&gt;3,"Cıvık-Sıvı"))))))),"",IF(AND(D10&gt;1.5,D10&lt;=1.71),"Katı",IF(AND(D10&gt;1.72,D10&lt;=1.87),"Sıkı-Katı",IF(AND(D10&gt;1.87,D10&lt;=2.49),"Gevşek",IF(AND(D10&gt;2.49,D10&lt;=3),"Çok Gevşek",IF(D10&lt;=1.5,"Sağlam Kaya",IF(D10&gt;3,"Cıvık-Sıvı")))))))</f>
        <v/>
      </c>
      <c r="L10" s="837"/>
      <c r="M10" s="3"/>
      <c r="N10" s="879"/>
      <c r="O10" s="162">
        <v>2</v>
      </c>
      <c r="P10" s="323">
        <f>D33</f>
        <v>0</v>
      </c>
      <c r="Q10" s="323">
        <f>D34</f>
        <v>0</v>
      </c>
      <c r="R10" s="875"/>
      <c r="S10" s="243">
        <f>D36</f>
        <v>0</v>
      </c>
      <c r="T10" s="243" t="e">
        <f>D37</f>
        <v>#DIV/0!</v>
      </c>
      <c r="U10" s="324" t="e">
        <f>D38</f>
        <v>#DIV/0!</v>
      </c>
      <c r="V10" s="323">
        <f>D39</f>
        <v>0</v>
      </c>
      <c r="W10" s="323" t="e">
        <f>D40</f>
        <v>#DIV/0!</v>
      </c>
      <c r="X10" s="323">
        <f>D41</f>
        <v>0</v>
      </c>
      <c r="Y10" s="877"/>
      <c r="Z10" s="873"/>
      <c r="AA10" s="874"/>
      <c r="AB10" s="907"/>
      <c r="AC10" s="908"/>
    </row>
    <row r="11" spans="1:29" ht="16.5" thickBot="1">
      <c r="A11" s="31" t="s">
        <v>12</v>
      </c>
      <c r="B11" s="32" t="s">
        <v>13</v>
      </c>
      <c r="C11" s="14" t="e">
        <f>(C6^2-2*C7^2)/(2*C6^2-2*C7^2)</f>
        <v>#DIV/0!</v>
      </c>
      <c r="D11" s="14" t="e">
        <f>(D6^2-2*D7^2)/(2*D6^2-2*D7^2)</f>
        <v>#DIV/0!</v>
      </c>
      <c r="G11" s="3"/>
      <c r="H11" s="3"/>
      <c r="I11" s="840" t="s">
        <v>25</v>
      </c>
      <c r="J11" s="841"/>
      <c r="K11" s="841"/>
      <c r="L11" s="842"/>
      <c r="M11" s="282" t="s">
        <v>474</v>
      </c>
      <c r="N11" s="878" t="s">
        <v>97</v>
      </c>
      <c r="O11" s="162">
        <v>1</v>
      </c>
      <c r="P11" s="323">
        <f>C59</f>
        <v>0</v>
      </c>
      <c r="Q11" s="323">
        <f>C60</f>
        <v>0</v>
      </c>
      <c r="R11" s="875">
        <f>C61</f>
        <v>0</v>
      </c>
      <c r="S11" s="243">
        <f>C62</f>
        <v>0</v>
      </c>
      <c r="T11" s="243" t="e">
        <f>C63</f>
        <v>#DIV/0!</v>
      </c>
      <c r="U11" s="324" t="e">
        <f>C64</f>
        <v>#DIV/0!</v>
      </c>
      <c r="V11" s="323">
        <f>C65</f>
        <v>0</v>
      </c>
      <c r="W11" s="323" t="e">
        <f>C66</f>
        <v>#DIV/0!</v>
      </c>
      <c r="X11" s="323">
        <f>C67</f>
        <v>0</v>
      </c>
      <c r="Y11" s="877">
        <f>C78</f>
        <v>0</v>
      </c>
      <c r="Z11" s="873"/>
      <c r="AA11" s="874"/>
      <c r="AB11" s="909"/>
      <c r="AC11" s="910"/>
    </row>
    <row r="12" spans="1:29" ht="16.5" thickBot="1">
      <c r="A12" s="31" t="s">
        <v>14</v>
      </c>
      <c r="B12" s="32" t="s">
        <v>15</v>
      </c>
      <c r="C12" s="13">
        <f>C9*(C7^2)/100</f>
        <v>0</v>
      </c>
      <c r="D12" s="13">
        <f>D9*(D7^2)/100</f>
        <v>0</v>
      </c>
      <c r="E12" s="49"/>
      <c r="F12" s="49"/>
      <c r="G12" s="3"/>
      <c r="H12" s="3"/>
      <c r="I12" s="836" t="e">
        <f>IF(AND(C11&gt;=0.1,C11&lt;0.2),"Katı",IF(AND(C11&gt;=0.2,C11&lt;0.3),"Sıkı-Katı",IF(AND(C11&gt;=0.3,C11&lt;0.4),"Gevşek",IF(AND(C11&gt;=0.4,C11&lt;0.5),"Çok Gevşek",IF(C11&lt;0.1,"Sağlam Kaya",IF(C11&gt;=0.5,"Cıvık-Sıvı"))))))</f>
        <v>#DIV/0!</v>
      </c>
      <c r="J12" s="843"/>
      <c r="K12" s="836" t="e">
        <f>IF(AND(D11&gt;=0.1,D11&lt;0.2),"Katı",IF(AND(D11&gt;=0.2,D11&lt;0.3),"Sıkı-Katı",IF(AND(D11&gt;=0.3,D11&lt;0.4),"Gevşek",IF(AND(D11&gt;=0.4,D11&lt;0.5),"Çok Gevşek",IF(D11&lt;0.1,"Sağlam Kaya",IF(D11&gt;=0.5,"Cıvık-Sıvı"))))))</f>
        <v>#DIV/0!</v>
      </c>
      <c r="L12" s="843"/>
      <c r="M12" s="3"/>
      <c r="N12" s="879"/>
      <c r="O12" s="162">
        <v>2</v>
      </c>
      <c r="P12" s="323">
        <f>D59</f>
        <v>0</v>
      </c>
      <c r="Q12" s="323">
        <f>D60</f>
        <v>0</v>
      </c>
      <c r="R12" s="875"/>
      <c r="S12" s="243">
        <f>D62</f>
        <v>0</v>
      </c>
      <c r="T12" s="243" t="e">
        <f>D63</f>
        <v>#DIV/0!</v>
      </c>
      <c r="U12" s="324" t="e">
        <f>D64</f>
        <v>#DIV/0!</v>
      </c>
      <c r="V12" s="323">
        <f>D65</f>
        <v>0</v>
      </c>
      <c r="W12" s="323" t="e">
        <f>D66</f>
        <v>#DIV/0!</v>
      </c>
      <c r="X12" s="323">
        <f>D67</f>
        <v>0</v>
      </c>
      <c r="Y12" s="877"/>
      <c r="Z12" s="873"/>
      <c r="AA12" s="874"/>
      <c r="AB12" s="907"/>
      <c r="AC12" s="908"/>
    </row>
    <row r="13" spans="1:29" ht="16.5" thickBot="1">
      <c r="A13" s="31" t="s">
        <v>16</v>
      </c>
      <c r="B13" s="32" t="s">
        <v>17</v>
      </c>
      <c r="C13" s="15" t="e">
        <f>C12*(((3*C6^2)-(4*(C7^2)))/(C6^2-C7^2))</f>
        <v>#DIV/0!</v>
      </c>
      <c r="D13" s="15" t="e">
        <f>D12*(((3*D6^2)-(4*(D7^2)))/(D6^2-D7^2))</f>
        <v>#DIV/0!</v>
      </c>
      <c r="E13" s="20"/>
      <c r="F13" s="20"/>
      <c r="G13" s="305">
        <f>(G8*(G5^2-(4/3*G6^2)))/100</f>
        <v>0</v>
      </c>
      <c r="H13" s="3"/>
      <c r="I13" s="840" t="s">
        <v>26</v>
      </c>
      <c r="J13" s="841"/>
      <c r="K13" s="841"/>
      <c r="L13" s="842"/>
      <c r="M13" s="282" t="s">
        <v>474</v>
      </c>
      <c r="N13" s="878" t="s">
        <v>98</v>
      </c>
      <c r="O13" s="162">
        <v>1</v>
      </c>
      <c r="P13" s="323">
        <f>C85</f>
        <v>0</v>
      </c>
      <c r="Q13" s="323">
        <f>C86</f>
        <v>0</v>
      </c>
      <c r="R13" s="875">
        <f>C87</f>
        <v>0</v>
      </c>
      <c r="S13" s="243">
        <f>C88</f>
        <v>0</v>
      </c>
      <c r="T13" s="243" t="e">
        <f>C89</f>
        <v>#DIV/0!</v>
      </c>
      <c r="U13" s="324" t="e">
        <f>C90</f>
        <v>#DIV/0!</v>
      </c>
      <c r="V13" s="323">
        <f>C91</f>
        <v>0</v>
      </c>
      <c r="W13" s="323" t="e">
        <f>C92</f>
        <v>#DIV/0!</v>
      </c>
      <c r="X13" s="323">
        <f>C93</f>
        <v>0</v>
      </c>
      <c r="Y13" s="877">
        <f>C104</f>
        <v>0</v>
      </c>
      <c r="Z13" s="873"/>
      <c r="AA13" s="874"/>
      <c r="AB13" s="909"/>
      <c r="AC13" s="910"/>
    </row>
    <row r="14" spans="1:29" ht="16.5" thickBot="1">
      <c r="A14" s="31" t="s">
        <v>228</v>
      </c>
      <c r="B14" s="32" t="s">
        <v>763</v>
      </c>
      <c r="C14" s="16">
        <f>(C9*(C6^2-(4/3*C7^2)))/100</f>
        <v>0</v>
      </c>
      <c r="D14" s="16">
        <f>(D9*(D6^2-(4/3*D7^2)))/100</f>
        <v>0</v>
      </c>
      <c r="E14" s="21"/>
      <c r="F14" s="21"/>
      <c r="G14" s="3"/>
      <c r="H14" s="3"/>
      <c r="I14" s="836" t="str">
        <f>IF(AND(C12&gt;0,C12&lt;=400),"Çok Zayıf",IF(AND(C12&gt;400,C12&lt;=1500),"Zayıf",IF(AND(C12&gt;1500,C12&lt;=3000),"Orta",IF(AND(C12&gt;3000,C12&lt;=10000),"Sağlam",IF(C12=0," ",IF(C12&gt;10000,"Çok Sağlam"))))))</f>
        <v xml:space="preserve"> </v>
      </c>
      <c r="J14" s="843"/>
      <c r="K14" s="836" t="str">
        <f>IF(AND(D12&gt;0,D12&lt;=400),"Çok Zayıf",IF(AND(D12&gt;400,D12&lt;=1500),"Zayıf",IF(AND(D12&gt;1500,D12&lt;=3000),"Orta",IF(AND(D12&gt;3000,D12&lt;=10000),"Sağlam",IF(D12=0," ",IF(D12&gt;10000,"Çok Sağlam"))))))</f>
        <v xml:space="preserve"> </v>
      </c>
      <c r="L14" s="837"/>
      <c r="M14" s="3"/>
      <c r="N14" s="879"/>
      <c r="O14" s="162">
        <v>2</v>
      </c>
      <c r="P14" s="323">
        <f>D85</f>
        <v>0</v>
      </c>
      <c r="Q14" s="323">
        <f>D86</f>
        <v>0</v>
      </c>
      <c r="R14" s="875"/>
      <c r="S14" s="243">
        <f>D88</f>
        <v>0</v>
      </c>
      <c r="T14" s="243" t="e">
        <f>D89</f>
        <v>#DIV/0!</v>
      </c>
      <c r="U14" s="324" t="e">
        <f>D90</f>
        <v>#DIV/0!</v>
      </c>
      <c r="V14" s="323">
        <f>D91</f>
        <v>0</v>
      </c>
      <c r="W14" s="323" t="e">
        <f>D92</f>
        <v>#DIV/0!</v>
      </c>
      <c r="X14" s="323">
        <f>D93</f>
        <v>0</v>
      </c>
      <c r="Y14" s="877"/>
      <c r="Z14" s="873"/>
      <c r="AA14" s="874"/>
      <c r="AB14" s="907"/>
      <c r="AC14" s="908"/>
    </row>
    <row r="15" spans="1:29" ht="16.5" thickBot="1">
      <c r="A15" s="31" t="s">
        <v>19</v>
      </c>
      <c r="B15" s="32" t="s">
        <v>20</v>
      </c>
      <c r="C15" s="838" t="e">
        <f>4*((C8/C7)+((50-C8)/D7))</f>
        <v>#DIV/0!</v>
      </c>
      <c r="D15" s="839"/>
      <c r="G15" s="3"/>
      <c r="H15" s="3"/>
      <c r="I15" s="840" t="s">
        <v>27</v>
      </c>
      <c r="J15" s="841"/>
      <c r="K15" s="841"/>
      <c r="L15" s="842"/>
      <c r="M15" s="282" t="s">
        <v>474</v>
      </c>
      <c r="N15" s="878" t="s">
        <v>99</v>
      </c>
      <c r="O15" s="162">
        <v>1</v>
      </c>
      <c r="P15" s="323">
        <f>C111</f>
        <v>0</v>
      </c>
      <c r="Q15" s="323">
        <f>C112</f>
        <v>0</v>
      </c>
      <c r="R15" s="875">
        <f>C113</f>
        <v>0</v>
      </c>
      <c r="S15" s="243">
        <f>C114</f>
        <v>0</v>
      </c>
      <c r="T15" s="243" t="e">
        <f>C115</f>
        <v>#DIV/0!</v>
      </c>
      <c r="U15" s="324" t="e">
        <f>C116</f>
        <v>#DIV/0!</v>
      </c>
      <c r="V15" s="243">
        <f>C117</f>
        <v>0</v>
      </c>
      <c r="W15" s="323" t="e">
        <f>C118</f>
        <v>#DIV/0!</v>
      </c>
      <c r="X15" s="323">
        <f>C119</f>
        <v>0</v>
      </c>
      <c r="Y15" s="877">
        <f>C130</f>
        <v>0</v>
      </c>
      <c r="Z15" s="873"/>
      <c r="AA15" s="874"/>
      <c r="AB15" s="909"/>
      <c r="AC15" s="910"/>
    </row>
    <row r="16" spans="1:29" ht="16.5" thickBot="1">
      <c r="A16" s="31" t="s">
        <v>21</v>
      </c>
      <c r="B16" s="32" t="s">
        <v>764</v>
      </c>
      <c r="C16" s="14">
        <f>(C9*C7)/100</f>
        <v>0</v>
      </c>
      <c r="D16" s="14">
        <f>(D9*D7)/100</f>
        <v>0</v>
      </c>
      <c r="E16" s="49"/>
      <c r="F16" s="49"/>
      <c r="G16" s="3"/>
      <c r="H16" s="3"/>
      <c r="I16" s="836" t="str">
        <f>IF(ISERROR( IF(AND(C13&gt;1000,C13&lt;=5000),"Zayıf",IF(AND(C13&gt;5000,C13&lt;=10000),"Orta",IF(AND(C13&gt;10000,C13&lt;=30000),"Sağlam",IF(C13&lt;=1000,"Çok Zayıf",IF(C13&gt;30000,"Çok Sağlam")))))),"", IF(AND(C13&gt;1000,C13&lt;=5000),"Zayıf",IF(AND(C13&gt;5000,C13&lt;=10000),"Orta",IF(AND(C13&gt;10000,C13&lt;=30000),"Sağlam",IF(C13&lt;=1000,"Çok Zayıf",IF(C13&gt;30000,"Çok Sağlam"))))))</f>
        <v/>
      </c>
      <c r="J16" s="843"/>
      <c r="K16" s="836" t="str">
        <f>IF(ISERROR( IF(AND(D13&gt;1000,D13&lt;5000),"Zayıf",IF(AND(D13&gt;5001,D13&lt;10000),"Orta",IF(AND(D13&gt;10001,D13&lt;30000),"Sağlam",IF(D13&lt;1000,"Çok Zayıf",IF(D13&gt;30000,"Çok Sağlam")))))),"", IF(AND(D13&gt;1000,D13&lt;5000),"Zayıf",IF(AND(D13&gt;5001,D13&lt;10000),"Orta",IF(AND(D13&gt;10001,D13&lt;30000),"Sağlam",IF(D13&lt;1000,"Çok Zayıf",IF(D13&gt;30000,"Çok Sağlam"))))))</f>
        <v/>
      </c>
      <c r="L16" s="837"/>
      <c r="M16" s="3"/>
      <c r="N16" s="879"/>
      <c r="O16" s="162">
        <v>2</v>
      </c>
      <c r="P16" s="323">
        <f>D111</f>
        <v>0</v>
      </c>
      <c r="Q16" s="323">
        <f>D112</f>
        <v>0</v>
      </c>
      <c r="R16" s="875"/>
      <c r="S16" s="243">
        <f>D114</f>
        <v>0</v>
      </c>
      <c r="T16" s="243" t="e">
        <f>D115</f>
        <v>#DIV/0!</v>
      </c>
      <c r="U16" s="324" t="e">
        <f>D116</f>
        <v>#DIV/0!</v>
      </c>
      <c r="V16" s="323">
        <f>D117</f>
        <v>0</v>
      </c>
      <c r="W16" s="323" t="e">
        <f>D118</f>
        <v>#DIV/0!</v>
      </c>
      <c r="X16" s="323">
        <f>D119</f>
        <v>0</v>
      </c>
      <c r="Y16" s="877"/>
      <c r="Z16" s="873"/>
      <c r="AA16" s="874"/>
      <c r="AB16" s="907"/>
      <c r="AC16" s="908"/>
    </row>
    <row r="17" spans="1:29" ht="16.5" thickBot="1">
      <c r="A17" s="31" t="s">
        <v>808</v>
      </c>
      <c r="B17" s="32" t="s">
        <v>744</v>
      </c>
      <c r="C17" s="14" t="e">
        <f>((C9*C7^2)/C6)/100</f>
        <v>#DIV/0!</v>
      </c>
      <c r="D17" s="14" t="e">
        <f>((D9*D7^2)/D6)/100</f>
        <v>#DIV/0!</v>
      </c>
      <c r="E17" s="22"/>
      <c r="F17" s="49"/>
      <c r="G17" s="49"/>
      <c r="H17" s="3"/>
      <c r="I17" s="840" t="s">
        <v>28</v>
      </c>
      <c r="J17" s="841"/>
      <c r="K17" s="841"/>
      <c r="L17" s="842"/>
      <c r="M17" s="282" t="s">
        <v>474</v>
      </c>
      <c r="N17" s="878" t="s">
        <v>100</v>
      </c>
      <c r="O17" s="162">
        <v>1</v>
      </c>
      <c r="P17" s="323">
        <f>C137</f>
        <v>0</v>
      </c>
      <c r="Q17" s="323">
        <f>C138</f>
        <v>0</v>
      </c>
      <c r="R17" s="875">
        <f>C139</f>
        <v>0</v>
      </c>
      <c r="S17" s="243">
        <f>C140</f>
        <v>0</v>
      </c>
      <c r="T17" s="243" t="e">
        <f>C141</f>
        <v>#DIV/0!</v>
      </c>
      <c r="U17" s="324" t="e">
        <f>C142</f>
        <v>#DIV/0!</v>
      </c>
      <c r="V17" s="323">
        <f>C143</f>
        <v>0</v>
      </c>
      <c r="W17" s="323" t="e">
        <f>C144</f>
        <v>#DIV/0!</v>
      </c>
      <c r="X17" s="323">
        <f>C145</f>
        <v>0</v>
      </c>
      <c r="Y17" s="877">
        <f>C156</f>
        <v>0</v>
      </c>
      <c r="Z17" s="873"/>
      <c r="AA17" s="874"/>
      <c r="AB17" s="909"/>
      <c r="AC17" s="910"/>
    </row>
    <row r="18" spans="1:29" ht="16.5" thickBot="1">
      <c r="A18" s="31" t="s">
        <v>128</v>
      </c>
      <c r="B18" s="32" t="s">
        <v>132</v>
      </c>
      <c r="C18" s="14" t="e">
        <f>(C16/C13)*C8*100</f>
        <v>#DIV/0!</v>
      </c>
      <c r="D18" s="14" t="e">
        <f>(D16/D13)*C8*100</f>
        <v>#DIV/0!</v>
      </c>
      <c r="E18" s="3"/>
      <c r="F18" s="3"/>
      <c r="G18" s="3"/>
      <c r="H18" s="3"/>
      <c r="I18" s="836" t="str">
        <f>IF(AND(C14&gt;400,C14&lt;10000),"Az",IF(AND(C14&gt;10001,C14&lt;40000),"Orta",IF(AND(C14&gt;40001,C14&lt;100000),"Yüksek",IF(AND(C14&lt;400,C14&gt;1),"Çok Az",IF(C14&gt;100000,"Çok Yüksek",IF(C14=0,""))))))</f>
        <v/>
      </c>
      <c r="J18" s="843"/>
      <c r="K18" s="836" t="str">
        <f>IF(AND(D14&gt;400,D14&lt;10000),"Az",IF(AND(D14&gt;10001,D14&lt;40000),"Orta",IF(AND(D14&gt;40001,D14&lt;100000),"Yüksek",IF(AND(D14&lt;400,D14&gt;1),"Çok Az",IF(D14&gt;100000,"Çok Yüksek",IF(D14=0,""))))))</f>
        <v/>
      </c>
      <c r="L18" s="837"/>
      <c r="M18" s="3"/>
      <c r="N18" s="879"/>
      <c r="O18" s="162">
        <v>2</v>
      </c>
      <c r="P18" s="323">
        <f>D137</f>
        <v>0</v>
      </c>
      <c r="Q18" s="323">
        <f>D138</f>
        <v>0</v>
      </c>
      <c r="R18" s="875"/>
      <c r="S18" s="243">
        <f>D140</f>
        <v>0</v>
      </c>
      <c r="T18" s="243" t="e">
        <f>D141</f>
        <v>#DIV/0!</v>
      </c>
      <c r="U18" s="324" t="e">
        <f>D142</f>
        <v>#DIV/0!</v>
      </c>
      <c r="V18" s="323">
        <f>D143</f>
        <v>0</v>
      </c>
      <c r="W18" s="323" t="e">
        <f>D144</f>
        <v>#DIV/0!</v>
      </c>
      <c r="X18" s="323">
        <f>D145</f>
        <v>0</v>
      </c>
      <c r="Y18" s="877"/>
      <c r="Z18" s="873"/>
      <c r="AA18" s="874"/>
      <c r="AB18" s="907"/>
      <c r="AC18" s="908"/>
    </row>
    <row r="19" spans="1:29" ht="16.5" thickBot="1">
      <c r="A19" s="34" t="s">
        <v>103</v>
      </c>
      <c r="B19" s="35" t="s">
        <v>186</v>
      </c>
      <c r="C19" s="37">
        <f>40*(C16*9.81)</f>
        <v>0</v>
      </c>
      <c r="D19" s="37">
        <f>40*(D16*9.81)</f>
        <v>0</v>
      </c>
      <c r="E19" s="3"/>
      <c r="F19" s="3"/>
      <c r="G19" s="3"/>
      <c r="H19" s="3"/>
      <c r="I19" s="844" t="s">
        <v>29</v>
      </c>
      <c r="J19" s="845"/>
      <c r="K19" s="845"/>
      <c r="L19" s="846"/>
      <c r="M19" s="282" t="s">
        <v>473</v>
      </c>
      <c r="N19" s="3"/>
      <c r="O19" s="3"/>
      <c r="P19" s="3"/>
      <c r="Q19" s="3"/>
      <c r="R19" s="3"/>
      <c r="S19" s="3"/>
      <c r="T19" s="3"/>
    </row>
    <row r="20" spans="1:29" ht="16.5" thickBot="1">
      <c r="A20" s="34" t="s">
        <v>104</v>
      </c>
      <c r="B20" s="35" t="s">
        <v>106</v>
      </c>
      <c r="C20" s="38" t="e">
        <f>C15*0.67</f>
        <v>#DIV/0!</v>
      </c>
      <c r="D20" s="38" t="e">
        <f>C15*1.5</f>
        <v>#DIV/0!</v>
      </c>
      <c r="E20" s="3"/>
      <c r="F20" s="3"/>
      <c r="G20" s="3"/>
      <c r="H20" s="3"/>
      <c r="I20" s="836" t="str">
        <f>IF(ISERROR( IF(AND(C15&gt;0.3,C15&lt;=0.5),"B - Orta Tehlike",IF(AND(C15&gt;0.5,C15&lt;=0.7),"C - Yüksek Tehlike",IF(C15&lt;=0.3,"A - Düşük Tehlike",IF(C15&gt;0.7,"D - Çok Yüksek Tehlike"))))),"", IF(AND(C15&gt;0.3,C15&lt;=0.5),"B - Orta Tehlike",IF(AND(C15&gt;0.5,C15&lt;=0.7),"C - Yüksek Tehlike",IF(C15&lt;=0.3,"A - Düşük Tehlike",IF(C15&gt;0.7,"D - Çok Yüksek Tehlike")))))</f>
        <v/>
      </c>
      <c r="J20" s="843"/>
      <c r="K20" s="843"/>
      <c r="L20" s="837"/>
      <c r="M20" s="3"/>
      <c r="N20" s="3"/>
      <c r="O20" s="876" t="s">
        <v>109</v>
      </c>
      <c r="P20" s="876"/>
      <c r="Q20" s="876"/>
      <c r="R20" s="876"/>
      <c r="S20" s="3"/>
      <c r="T20" s="3"/>
    </row>
    <row r="21" spans="1:29" ht="16.5" thickBot="1">
      <c r="A21" s="34" t="s">
        <v>105</v>
      </c>
      <c r="B21" s="36"/>
      <c r="C21" s="38" t="e">
        <f>-0.175*LN(C6)+1.56</f>
        <v>#NUM!</v>
      </c>
      <c r="D21" s="38" t="e">
        <f>-0.175*LN(D6)+1.56</f>
        <v>#NUM!</v>
      </c>
      <c r="E21" s="3"/>
      <c r="F21" s="3"/>
      <c r="G21" s="3"/>
      <c r="H21" s="3"/>
      <c r="I21" s="847" t="s">
        <v>30</v>
      </c>
      <c r="J21" s="848"/>
      <c r="K21" s="848"/>
      <c r="L21" s="849"/>
      <c r="M21" s="282" t="s">
        <v>473</v>
      </c>
      <c r="N21" s="864" t="s">
        <v>110</v>
      </c>
      <c r="O21" s="864"/>
      <c r="P21" s="864"/>
      <c r="Q21" s="864"/>
      <c r="R21" s="863" t="s">
        <v>215</v>
      </c>
      <c r="S21" s="864"/>
      <c r="T21" s="872"/>
    </row>
    <row r="22" spans="1:29" ht="16.5" thickBot="1">
      <c r="A22" s="34" t="s">
        <v>448</v>
      </c>
      <c r="B22" s="39" t="s">
        <v>479</v>
      </c>
      <c r="C22" s="858" t="e">
        <f>700/C25</f>
        <v>#DIV/0!</v>
      </c>
      <c r="D22" s="859"/>
      <c r="E22" s="3"/>
      <c r="F22" s="853" t="s">
        <v>107</v>
      </c>
      <c r="G22" s="854"/>
      <c r="H22" s="855"/>
      <c r="I22" s="836" t="str">
        <f>IF(ISERROR(IF(AND(C22&gt;2.5,C22&lt;=4),"B - Orta Tehlike",IF(AND(C22&gt;4,C22&lt;=6.5),"C - Yüksek Tehlike",IF(C22&lt;=2.5,"A - Düşük Tehlike",IF(C22&gt;6.5,"D - Çok Yüksek Tehlike"))))),"",IF(AND(C22&gt;2.5,C22&lt;=4),"B - Orta Tehlike",IF(AND(C22&gt;4,C22&lt;=6.5),"C - Yüksek Tehlike",IF(C22&lt;=2.5,"A - Düşük Tehlike",IF(C22&gt;6.5,"D - Çok Yüksek Tehlike")))))</f>
        <v/>
      </c>
      <c r="J22" s="843"/>
      <c r="K22" s="843"/>
      <c r="L22" s="837"/>
      <c r="M22" s="3"/>
      <c r="N22" s="863" t="s">
        <v>111</v>
      </c>
      <c r="O22" s="864"/>
      <c r="P22" s="864"/>
      <c r="Q22" s="864"/>
      <c r="R22" s="863" t="s">
        <v>161</v>
      </c>
      <c r="S22" s="864"/>
      <c r="T22" s="872"/>
    </row>
    <row r="23" spans="1:29" ht="16.5" customHeight="1" thickBot="1">
      <c r="A23" s="34" t="s">
        <v>449</v>
      </c>
      <c r="B23" s="39" t="s">
        <v>479</v>
      </c>
      <c r="C23" s="858" t="e">
        <f>600/C25</f>
        <v>#DIV/0!</v>
      </c>
      <c r="D23" s="859"/>
      <c r="E23" s="3"/>
      <c r="F23" s="850" t="s">
        <v>108</v>
      </c>
      <c r="G23" s="851"/>
      <c r="H23" s="852"/>
      <c r="I23" s="836" t="str">
        <f>IF(ISERROR(IF(AND(C23&gt;2.5,C23&lt;=4),"B - Orta Tehlike",IF(AND(C23&gt;4,C23&lt;=6.5),"C - Yüksek Tehlike",IF(C23&lt;=2.5,"A - Düşük Tehlike",IF(C23&gt;6.5,"D - Çok Yüksek Tehlike"))))),"",IF(AND(C23&gt;2.5,C23&lt;=4),"B - Orta Tehlike",IF(AND(C23&gt;4,C23&lt;=6.5),"C - Yüksek Tehlike",IF(C23&lt;=2.5,"A - Düşük Tehlike",IF(C23&gt;6.5,"D - Çok Yüksek Tehlike")))))</f>
        <v/>
      </c>
      <c r="J23" s="843"/>
      <c r="K23" s="843"/>
      <c r="L23" s="837"/>
      <c r="M23" s="3"/>
      <c r="N23" s="863" t="s">
        <v>112</v>
      </c>
      <c r="O23" s="864"/>
      <c r="P23" s="864"/>
      <c r="Q23" s="864"/>
      <c r="R23" s="863" t="s">
        <v>121</v>
      </c>
      <c r="S23" s="864"/>
      <c r="T23" s="872"/>
    </row>
    <row r="24" spans="1:29" ht="15.75">
      <c r="A24" s="34" t="s">
        <v>130</v>
      </c>
      <c r="B24" s="42" t="s">
        <v>131</v>
      </c>
      <c r="C24" s="38" t="e">
        <f>(3/4*(C13/1000)*(C16/0.333))</f>
        <v>#DIV/0!</v>
      </c>
      <c r="D24" s="38" t="e">
        <f>(3/4*(D13/1000)*(D16/0.333))</f>
        <v>#DIV/0!</v>
      </c>
      <c r="M24" s="3"/>
      <c r="N24" s="863" t="s">
        <v>113</v>
      </c>
      <c r="O24" s="864"/>
      <c r="P24" s="864"/>
      <c r="Q24" s="864"/>
      <c r="R24" s="863" t="s">
        <v>122</v>
      </c>
      <c r="S24" s="864"/>
      <c r="T24" s="872"/>
    </row>
    <row r="25" spans="1:29" ht="15.75">
      <c r="A25" s="58" t="s">
        <v>447</v>
      </c>
      <c r="B25" s="35" t="s">
        <v>191</v>
      </c>
      <c r="C25" s="834">
        <f>IF(I206=3,C26,IF(I206=2,D213,""))</f>
        <v>0</v>
      </c>
      <c r="D25" s="835"/>
      <c r="M25" s="3"/>
      <c r="N25" s="863" t="s">
        <v>114</v>
      </c>
      <c r="O25" s="864"/>
      <c r="P25" s="864"/>
      <c r="Q25" s="864"/>
      <c r="R25" s="863" t="s">
        <v>127</v>
      </c>
      <c r="S25" s="864"/>
      <c r="T25" s="872"/>
    </row>
    <row r="26" spans="1:29">
      <c r="A26" s="41"/>
      <c r="C26" s="832"/>
      <c r="D26" s="833"/>
      <c r="M26" s="3"/>
      <c r="N26" s="863" t="s">
        <v>115</v>
      </c>
      <c r="O26" s="864"/>
      <c r="P26" s="864"/>
      <c r="Q26" s="864"/>
      <c r="R26" s="863" t="s">
        <v>127</v>
      </c>
      <c r="S26" s="864"/>
      <c r="T26" s="872"/>
    </row>
    <row r="27" spans="1:29" ht="21" customHeight="1" thickBot="1">
      <c r="E27" s="24"/>
      <c r="F27" s="57"/>
      <c r="G27" s="57"/>
      <c r="H27" s="57"/>
      <c r="I27" s="57"/>
      <c r="J27" s="57"/>
      <c r="K27" s="3"/>
      <c r="L27" s="3"/>
      <c r="N27" s="863" t="s">
        <v>116</v>
      </c>
      <c r="O27" s="864"/>
      <c r="P27" s="864"/>
      <c r="Q27" s="864"/>
      <c r="R27" s="863" t="s">
        <v>123</v>
      </c>
      <c r="S27" s="864"/>
      <c r="T27" s="872"/>
    </row>
    <row r="28" spans="1:29" ht="15.75" customHeight="1" thickBot="1">
      <c r="A28" s="893" t="s">
        <v>47</v>
      </c>
      <c r="B28" s="3"/>
      <c r="C28" s="23"/>
      <c r="D28" s="23"/>
      <c r="E28" s="24"/>
      <c r="F28" s="25" t="s">
        <v>367</v>
      </c>
      <c r="G28" s="26"/>
      <c r="H28" s="26"/>
      <c r="I28" s="27"/>
      <c r="J28" s="27"/>
      <c r="K28" s="50"/>
      <c r="L28" s="3"/>
      <c r="N28" s="863" t="s">
        <v>117</v>
      </c>
      <c r="O28" s="864"/>
      <c r="P28" s="864"/>
      <c r="Q28" s="864"/>
      <c r="R28" s="863" t="s">
        <v>127</v>
      </c>
      <c r="S28" s="864"/>
      <c r="T28" s="872"/>
    </row>
    <row r="29" spans="1:29" ht="15.75" customHeight="1" thickBot="1">
      <c r="A29" s="894"/>
      <c r="B29" s="3"/>
      <c r="C29" s="23"/>
      <c r="D29" s="23"/>
      <c r="E29" s="3"/>
      <c r="F29" s="3"/>
      <c r="G29" s="266" t="str">
        <f>IF(AND(C34&lt;180,C34&gt;=0.1),"Zayıf Zemin",IF(AND(C34&gt;180,C34&lt;=360),"Sert/Sıkı ",IF(AND(C34&gt;360,C34&lt;=760),"ÇokSıkı Sert Zemin/ Y. Kaya",IF(AND(C34&gt;760,C34&lt;=1500),"Kaya",IF(C34=0,"",IF(C34&gt;1500,"Sert Kaya"))))))</f>
        <v/>
      </c>
      <c r="H29" s="265"/>
      <c r="I29" s="265"/>
      <c r="J29" s="265"/>
      <c r="K29" s="870" t="s">
        <v>129</v>
      </c>
      <c r="L29" s="3"/>
      <c r="M29" s="3"/>
      <c r="N29" s="863" t="s">
        <v>118</v>
      </c>
      <c r="O29" s="864"/>
      <c r="P29" s="864"/>
      <c r="Q29" s="864"/>
      <c r="R29" s="863" t="s">
        <v>121</v>
      </c>
      <c r="S29" s="864"/>
      <c r="T29" s="872"/>
    </row>
    <row r="30" spans="1:29" ht="16.5" customHeight="1" thickBot="1">
      <c r="A30" s="889" t="s">
        <v>419</v>
      </c>
      <c r="B30" s="890"/>
      <c r="C30" s="890"/>
      <c r="D30" s="890"/>
      <c r="E30" s="865"/>
      <c r="F30" s="866"/>
      <c r="G30" s="903"/>
      <c r="H30" s="867" t="str">
        <f>IF(AND(D34&lt;180,D34&gt;=0.1),"Zayıf",IF(AND(D34&gt;180,D34&lt;=360),"Sert/Sıkı ",IF(AND(D34&gt;360,D34&lt;=760),"ÇokSıkı Sert Zemin/ Y. Kaya",IF(AND(D34&gt;760,D34&lt;=1500),"Kaya",IF(D34=0,"",IF(D34&gt;1500,"Sert Kaya"))))))</f>
        <v/>
      </c>
      <c r="I30" s="867"/>
      <c r="J30" s="867"/>
      <c r="K30" s="871"/>
      <c r="L30" s="3"/>
      <c r="M30" s="3"/>
      <c r="N30" s="863" t="s">
        <v>119</v>
      </c>
      <c r="O30" s="864"/>
      <c r="P30" s="864"/>
      <c r="Q30" s="864"/>
      <c r="R30" s="863" t="s">
        <v>124</v>
      </c>
      <c r="S30" s="864"/>
      <c r="T30" s="872"/>
    </row>
    <row r="31" spans="1:29" ht="16.5" customHeight="1" thickBot="1">
      <c r="A31" s="891" t="s">
        <v>0</v>
      </c>
      <c r="B31" s="887" t="s">
        <v>1</v>
      </c>
      <c r="C31" s="28" t="s">
        <v>52</v>
      </c>
      <c r="D31" s="242" t="s">
        <v>53</v>
      </c>
      <c r="E31" s="866"/>
      <c r="F31" s="866"/>
      <c r="G31" s="904"/>
      <c r="H31" s="895"/>
      <c r="I31" s="868" t="s">
        <v>2</v>
      </c>
      <c r="J31" s="869"/>
      <c r="K31" s="868" t="s">
        <v>3</v>
      </c>
      <c r="L31" s="869"/>
      <c r="M31" s="3"/>
      <c r="N31" s="863" t="s">
        <v>120</v>
      </c>
      <c r="O31" s="864"/>
      <c r="P31" s="864"/>
      <c r="Q31" s="864"/>
      <c r="R31" s="863" t="s">
        <v>125</v>
      </c>
      <c r="S31" s="864"/>
      <c r="T31" s="872"/>
    </row>
    <row r="32" spans="1:29" ht="16.5" thickBot="1">
      <c r="A32" s="892"/>
      <c r="B32" s="888"/>
      <c r="C32" s="261" t="str">
        <f>G34</f>
        <v/>
      </c>
      <c r="D32" s="260" t="str">
        <f>H34</f>
        <v/>
      </c>
      <c r="E32" s="885" t="s">
        <v>457</v>
      </c>
      <c r="F32" s="886"/>
      <c r="G32" s="904"/>
      <c r="H32" s="895"/>
      <c r="I32" s="840" t="s">
        <v>22</v>
      </c>
      <c r="J32" s="841"/>
      <c r="K32" s="841"/>
      <c r="L32" s="841"/>
      <c r="M32" s="282" t="s">
        <v>475</v>
      </c>
      <c r="N32" s="860" t="s">
        <v>126</v>
      </c>
      <c r="O32" s="861"/>
      <c r="P32" s="861"/>
      <c r="Q32" s="861"/>
      <c r="R32" s="860" t="s">
        <v>127</v>
      </c>
      <c r="S32" s="861"/>
      <c r="T32" s="862"/>
    </row>
    <row r="33" spans="1:13" ht="16.5" thickBot="1">
      <c r="A33" s="29" t="s">
        <v>4</v>
      </c>
      <c r="B33" s="30" t="s">
        <v>5</v>
      </c>
      <c r="C33" s="90"/>
      <c r="D33" s="90"/>
      <c r="E33" s="3"/>
      <c r="F33" s="3"/>
      <c r="G33" s="904"/>
      <c r="H33" s="895"/>
      <c r="I33" s="836" t="str">
        <f>IF(AND(C33&gt;1,C33&lt;=600),"Çok kolay",IF(AND(C33&gt;1500,C33&lt;=2100),"Zor",IF(AND(C33&gt;600,C33&lt;=900),"Kolay",IF(AND(C33&gt;900,C33&lt;=1500),"Orta",IF(AND(C33&gt;2100,C33&lt;=2400),"Çok Zor",IF(C33=0," ",IF(C33&gt;2400,"Son Derece Zor")))))))</f>
        <v xml:space="preserve"> </v>
      </c>
      <c r="J33" s="837"/>
      <c r="K33" s="836" t="str">
        <f>IF(AND(D33&gt;1,D33&lt;=600),"Çok kolay",IF(AND(D33&gt;1500,D33&lt;=2100),"Zor",IF(AND(D33&gt;600,D33&lt;=900),"Kolay",IF(AND(D33&gt;900,D33&lt;=1500),"Orta",IF(AND(D33&gt;2100,D33&lt;=2400),"Çok Zor",IF(D33=0,"",IF(D33&gt;2400,"Son Derece Zor")))))))</f>
        <v/>
      </c>
      <c r="L33" s="837"/>
      <c r="M33" s="3"/>
    </row>
    <row r="34" spans="1:13" ht="16.5" thickBot="1">
      <c r="A34" s="31" t="s">
        <v>6</v>
      </c>
      <c r="B34" s="32" t="s">
        <v>7</v>
      </c>
      <c r="C34" s="90"/>
      <c r="D34" s="90"/>
      <c r="E34" s="321"/>
      <c r="F34" s="321"/>
      <c r="G34" s="267" t="str">
        <f>IF(AND(C34&lt;=180,C34&gt;0.1),"E",IF(AND(C34&gt;180,C34&lt;=360),"D",IF(AND(C34&gt;360,C34&lt;=760),"C",IF(AND(C34&gt;760,C34&lt;=1500),"B",IF(C34=0,"",IF(C34&gt;1500,"A"))))))</f>
        <v/>
      </c>
      <c r="H34" s="259" t="str">
        <f>IF(AND(D34&lt;=180,D34&gt;0.1),"E",IF(AND(D34&gt;180,D34&lt;=360),"D",IF(AND(D34&gt;360,D34&lt;=760),"C",IF(AND(D34&gt;760,D34&lt;=1500),"B",IF(D34=0,"",IF(D34&gt;1500,"A"))))))</f>
        <v/>
      </c>
      <c r="I34" s="840" t="s">
        <v>23</v>
      </c>
      <c r="J34" s="841"/>
      <c r="K34" s="841"/>
      <c r="L34" s="841"/>
      <c r="M34" s="282" t="s">
        <v>474</v>
      </c>
    </row>
    <row r="35" spans="1:13" ht="16.5" thickBot="1">
      <c r="A35" s="31" t="s">
        <v>192</v>
      </c>
      <c r="B35" s="32" t="s">
        <v>193</v>
      </c>
      <c r="C35" s="830"/>
      <c r="D35" s="831"/>
      <c r="E35" s="19"/>
      <c r="F35" s="19"/>
      <c r="G35" s="3"/>
      <c r="H35" s="3"/>
      <c r="I35" s="836" t="str">
        <f>IF(AND(C36&gt;1.2,C36&lt;=1.4),"Düşük",IF(AND(C36&gt;1.4,C36&lt;=1.9),"Orta",IF(AND(C36&gt;1.9,C36&lt;=2.2),"Yüksek",IF(C36=0,"",IF(AND(C36&lt;1.2,C36&gt;0.1),"Çok Düşük",IF(C36&gt;2.2,"Çok Yüksek"))))))</f>
        <v/>
      </c>
      <c r="J35" s="843"/>
      <c r="K35" s="836" t="str">
        <f>IF(AND(D36&gt;1.2,D36&lt;=1.4),"Düşük",IF(AND(D36&gt;1.4,D36&lt;=1.9),"Orta",IF(AND(D36&gt;1.9,D36&lt;=2.2),"Yüksek",IF(D36=0,"",IF(AND(D36&lt;1.2,D36&gt;0.1),"Çok Düşük",IF(D36&gt;2.2,"Çok Yüksek"))))))</f>
        <v/>
      </c>
      <c r="L35" s="837"/>
      <c r="M35" s="3"/>
    </row>
    <row r="36" spans="1:13" ht="16.5" thickBot="1">
      <c r="A36" s="31" t="s">
        <v>8</v>
      </c>
      <c r="B36" s="32" t="s">
        <v>9</v>
      </c>
      <c r="C36" s="14">
        <f>ROUND(D240,2)</f>
        <v>0</v>
      </c>
      <c r="D36" s="14">
        <f>ROUND(E240,2)</f>
        <v>0</v>
      </c>
      <c r="E36" s="856"/>
      <c r="F36" s="857"/>
      <c r="G36" s="857"/>
      <c r="H36" s="3"/>
      <c r="I36" s="840" t="s">
        <v>24</v>
      </c>
      <c r="J36" s="841"/>
      <c r="K36" s="841"/>
      <c r="L36" s="842"/>
      <c r="M36" s="282" t="s">
        <v>476</v>
      </c>
    </row>
    <row r="37" spans="1:13" ht="16.5" thickBot="1">
      <c r="A37" s="31" t="s">
        <v>10</v>
      </c>
      <c r="B37" s="32" t="s">
        <v>11</v>
      </c>
      <c r="C37" s="14" t="e">
        <f>C33/C34</f>
        <v>#DIV/0!</v>
      </c>
      <c r="D37" s="14" t="e">
        <f>D33/D34</f>
        <v>#DIV/0!</v>
      </c>
      <c r="E37" s="49"/>
      <c r="F37" s="49"/>
      <c r="G37" s="3"/>
      <c r="H37" s="3"/>
      <c r="I37" s="836" t="str">
        <f>IF(ISERROR(IF(AND(C37&gt;1.5,C37&lt;=1.71),"Katı",IF(AND(C37&gt;1.71,C37&lt;=1.87),"Sıkı-Katı",IF(AND(C37&gt;1.87,C37&lt;=2.49),"Gevşek",IF(AND(C37&gt;2.49,C37&lt;=3),"Çok Gevşek",IF(C37&lt;=1.5,"Sağlam Kaya",IF(C37&gt;3,"Cıvık-Sıvı"))))))),"",IF(AND(C37&gt;1.5,C37&lt;=1.71),"Katı",IF(AND(C37&gt;1.71,C37&lt;=1.87),"Sıkı-Katı",IF(AND(C37&gt;1.87,C37&lt;=2.49),"Gevşek",IF(AND(C37&gt;2.49,C37&lt;=3),"Çok Gevşek",IF(C37&lt;=1.5,"Sağlam Kaya",IF(C37&gt;3,"Cıvık-Sıvı")))))))</f>
        <v/>
      </c>
      <c r="J37" s="843"/>
      <c r="K37" s="836" t="str">
        <f>IF(ISERROR(IF(AND(D37&gt;1.5,D37&lt;=1.71),"Katı",IF(AND(D37&gt;1.71,D37&lt;=1.87),"Sıkı-Katı",IF(AND(D37&gt;1.87,D37&lt;=2.49),"Gevşek",IF(AND(D37&gt;2.49,D37&lt;=3),"Çok Gevşek",IF(D37&lt;=1.5,"Sağlam Kaya",IF(D37&gt;3,"Cıvık-Sıvı"))))))),"",IF(AND(D37&gt;1.5,D37&lt;=1.71),"Katı",IF(AND(D37&gt;1.71,D37&lt;=1.87),"Sıkı-Katı",IF(AND(D37&gt;1.87,D37&lt;=2.49),"Gevşek",IF(AND(D37&gt;2.49,D37&lt;=3),"Çok Gevşek",IF(D37&lt;=1.5,"Sağlam Kaya",IF(D37&gt;3,"Cıvık-Sıvı")))))))</f>
        <v/>
      </c>
      <c r="L37" s="837"/>
      <c r="M37" s="3"/>
    </row>
    <row r="38" spans="1:13" ht="16.5" thickBot="1">
      <c r="A38" s="31" t="s">
        <v>12</v>
      </c>
      <c r="B38" s="32" t="s">
        <v>13</v>
      </c>
      <c r="C38" s="14" t="e">
        <f>(C33^2-2*C34^2)/(2*C33^2-2*C34^2)</f>
        <v>#DIV/0!</v>
      </c>
      <c r="D38" s="14" t="e">
        <f>(D33^2-2*D34^2)/(2*D33^2-2*D34^2)</f>
        <v>#DIV/0!</v>
      </c>
      <c r="G38" s="3"/>
      <c r="H38" s="3"/>
      <c r="I38" s="840" t="s">
        <v>25</v>
      </c>
      <c r="J38" s="841"/>
      <c r="K38" s="841"/>
      <c r="L38" s="842"/>
      <c r="M38" s="282" t="s">
        <v>474</v>
      </c>
    </row>
    <row r="39" spans="1:13" ht="16.5" thickBot="1">
      <c r="A39" s="31" t="s">
        <v>14</v>
      </c>
      <c r="B39" s="32" t="s">
        <v>15</v>
      </c>
      <c r="C39" s="13">
        <f>C36*(C34^2)/100</f>
        <v>0</v>
      </c>
      <c r="D39" s="13">
        <f>D36*(D34^2)/100</f>
        <v>0</v>
      </c>
      <c r="E39" s="49"/>
      <c r="F39" s="49"/>
      <c r="G39" s="3"/>
      <c r="H39" s="3"/>
      <c r="I39" s="836" t="e">
        <f>IF(AND(C38&gt;=0.1,C38&lt;0.2),"Katı",IF(AND(C38&gt;=0.2,C38&lt;0.3),"Sıkı-Katı",IF(AND(C38&gt;=0.3,C38&lt;0.4),"Gevşek",IF(AND(C38&gt;=0.4,C38&lt;0.5),"Çok Gevşek",IF(C38&lt;0.1,"Sağlam Kaya",IF(C38&gt;=0.5,"Cıvık-Sıvı"))))))</f>
        <v>#DIV/0!</v>
      </c>
      <c r="J39" s="843"/>
      <c r="K39" s="836" t="e">
        <f>IF(AND(D38&gt;=0.1,D38&lt;0.2),"Katı",IF(AND(D38&gt;=0.2,D38&lt;0.3),"Sıkı-Katı",IF(AND(D38&gt;=0.3,D38&lt;0.4),"Gevşek",IF(AND(D38&gt;=0.4,D38&lt;0.5),"Çok Gevşek",IF(D38&lt;0.1,"Sağlam Kaya",IF(D38&gt;=0.5,"Cıvık-Sıvı"))))))</f>
        <v>#DIV/0!</v>
      </c>
      <c r="L39" s="843"/>
      <c r="M39" s="3"/>
    </row>
    <row r="40" spans="1:13" ht="21" customHeight="1" thickBot="1">
      <c r="A40" s="31" t="s">
        <v>16</v>
      </c>
      <c r="B40" s="32" t="s">
        <v>17</v>
      </c>
      <c r="C40" s="15" t="e">
        <f>C39*(((3*C33^2)-(4*(C34^2)))/(C33^2-C34^2))</f>
        <v>#DIV/0!</v>
      </c>
      <c r="D40" s="15" t="e">
        <f>D39*(((3*D33^2)-(4*(D34^2)))/(D33^2-D34^2))</f>
        <v>#DIV/0!</v>
      </c>
      <c r="E40" s="20"/>
      <c r="F40" s="20"/>
      <c r="G40" s="3"/>
      <c r="H40" s="3"/>
      <c r="I40" s="840" t="s">
        <v>26</v>
      </c>
      <c r="J40" s="841"/>
      <c r="K40" s="841"/>
      <c r="L40" s="842"/>
      <c r="M40" s="282" t="s">
        <v>474</v>
      </c>
    </row>
    <row r="41" spans="1:13" ht="16.5" customHeight="1" thickBot="1">
      <c r="A41" s="31" t="s">
        <v>229</v>
      </c>
      <c r="B41" s="32" t="s">
        <v>18</v>
      </c>
      <c r="C41" s="16">
        <f>(C36*(C33^2-(4/3*C34^2)))/100</f>
        <v>0</v>
      </c>
      <c r="D41" s="16">
        <f>(D36*(D33^2-(4/3*D34^2)))/100</f>
        <v>0</v>
      </c>
      <c r="E41" s="21"/>
      <c r="F41" s="21"/>
      <c r="G41" s="3"/>
      <c r="H41" s="3"/>
      <c r="I41" s="836" t="str">
        <f>IF(AND(C39&gt;0,C39&lt;=400),"Çok Zayıf",IF(AND(C39&gt;400,C39&lt;=1500),"Zayıf",IF(AND(C39&gt;1500,C39&lt;=3000),"Orta",IF(AND(C39&gt;3000,C39&lt;=10000),"Sağlam",IF(C39=0," ",IF(C39&gt;10000,"Çok Sağlam"))))))</f>
        <v xml:space="preserve"> </v>
      </c>
      <c r="J41" s="843"/>
      <c r="K41" s="836" t="str">
        <f>IF(AND(D39&gt;0,D39&lt;=400),"Çok Zayıf",IF(AND(D39&gt;400,D39&lt;=1500),"Zayıf",IF(AND(D39&gt;1500,D39&lt;=3000),"Orta",IF(AND(D39&gt;3000,D39&lt;=10000),"Sağlam",IF(D39=0," ",IF(D39&gt;10000,"Çok Sağlam"))))))</f>
        <v xml:space="preserve"> </v>
      </c>
      <c r="L41" s="837"/>
      <c r="M41" s="3"/>
    </row>
    <row r="42" spans="1:13" ht="16.5" thickBot="1">
      <c r="A42" s="31" t="s">
        <v>19</v>
      </c>
      <c r="B42" s="32" t="s">
        <v>20</v>
      </c>
      <c r="C42" s="838" t="e">
        <f>4*((C35/C34)+((50-C35)/D34))</f>
        <v>#DIV/0!</v>
      </c>
      <c r="D42" s="839"/>
      <c r="G42" s="3"/>
      <c r="H42" s="3"/>
      <c r="I42" s="840" t="s">
        <v>27</v>
      </c>
      <c r="J42" s="841"/>
      <c r="K42" s="841"/>
      <c r="L42" s="842"/>
      <c r="M42" s="282" t="s">
        <v>474</v>
      </c>
    </row>
    <row r="43" spans="1:13" ht="16.5" customHeight="1" thickBot="1">
      <c r="A43" s="31" t="s">
        <v>21</v>
      </c>
      <c r="B43" s="32" t="s">
        <v>742</v>
      </c>
      <c r="C43" s="14">
        <f>(C36*C34)/100</f>
        <v>0</v>
      </c>
      <c r="D43" s="14">
        <f>(D36*D34)/100</f>
        <v>0</v>
      </c>
      <c r="E43" s="49"/>
      <c r="F43" s="49"/>
      <c r="G43" s="3"/>
      <c r="H43" s="3"/>
      <c r="I43" s="836" t="str">
        <f>IF(ISERROR( IF(AND(C40&gt;1000,C40&lt;=5000),"Zayıf",IF(AND(C40&gt;5000,C40&lt;=10000),"Orta",IF(AND(C40&gt;10000,C40&lt;=30000),"Sağlam",IF(C40&lt;=1000,"Çok Zayıf",IF(C40&gt;30000,"Çok Sağlam")))))),"", IF(AND(C40&gt;1000,C40&lt;=5000),"Zayıf",IF(AND(C40&gt;5000,C40&lt;=10000),"Orta",IF(AND(C40&gt;10000,C40&lt;=30000),"Sağlam",IF(C40&lt;=1000,"Çok Zayıf",IF(C40&gt;30000,"Çok Sağlam"))))))</f>
        <v/>
      </c>
      <c r="J43" s="843"/>
      <c r="K43" s="836" t="str">
        <f>IF(ISERROR( IF(AND(D40&gt;1000,D40&lt;5000),"Zayıf",IF(AND(D40&gt;5001,D40&lt;10000),"Orta",IF(AND(D40&gt;10001,D40&lt;30000),"Sağlam",IF(D40&lt;1000,"Çok Zayıf",IF(D40&gt;30000,"Çok Sağlam")))))),"", IF(AND(D40&gt;1000,D40&lt;5000),"Zayıf",IF(AND(D40&gt;5001,D40&lt;10000),"Orta",IF(AND(D40&gt;10001,D40&lt;30000),"Sağlam",IF(D40&lt;1000,"Çok Zayıf",IF(D40&gt;30000,"Çok Sağlam"))))))</f>
        <v/>
      </c>
      <c r="L43" s="837"/>
      <c r="M43" s="3"/>
    </row>
    <row r="44" spans="1:13" ht="16.5" thickBot="1">
      <c r="A44" s="31" t="s">
        <v>743</v>
      </c>
      <c r="B44" s="32" t="s">
        <v>744</v>
      </c>
      <c r="C44" s="14" t="e">
        <f>((C36*C34^2)/C33)/100</f>
        <v>#DIV/0!</v>
      </c>
      <c r="D44" s="14" t="e">
        <f>((D36*D34^2)/D33)/100</f>
        <v>#DIV/0!</v>
      </c>
      <c r="E44" s="22"/>
      <c r="F44" s="49"/>
      <c r="G44" s="49"/>
      <c r="H44" s="3"/>
      <c r="I44" s="840" t="s">
        <v>28</v>
      </c>
      <c r="J44" s="841"/>
      <c r="K44" s="841"/>
      <c r="L44" s="842"/>
      <c r="M44" s="282" t="s">
        <v>474</v>
      </c>
    </row>
    <row r="45" spans="1:13" ht="16.5" thickBot="1">
      <c r="A45" s="31" t="s">
        <v>128</v>
      </c>
      <c r="B45" s="32" t="s">
        <v>132</v>
      </c>
      <c r="C45" s="14" t="e">
        <f>(C43/C40)*C35*100</f>
        <v>#DIV/0!</v>
      </c>
      <c r="D45" s="14" t="e">
        <f>(D43/D40)*C35*100</f>
        <v>#DIV/0!</v>
      </c>
      <c r="E45" s="3"/>
      <c r="F45" s="3"/>
      <c r="G45" s="3"/>
      <c r="H45" s="3"/>
      <c r="I45" s="836" t="str">
        <f>IF(AND(C41&gt;400,C41&lt;10000),"Az",IF(AND(C41&gt;10001,C41&lt;40000),"Orta",IF(AND(C41&gt;40001,C41&lt;100000),"Yüksek",IF(AND(C41&lt;400,C41&gt;1),"Çok Az",IF(C41&gt;100000,"Çok Yüksek",IF(C41=0,""))))))</f>
        <v/>
      </c>
      <c r="J45" s="843"/>
      <c r="K45" s="836" t="str">
        <f>IF(AND(D41&gt;400,D41&lt;10000),"Az",IF(AND(D41&gt;10001,D41&lt;40000),"Orta",IF(AND(D41&gt;40001,D41&lt;100000),"Yüksek",IF(AND(D41&lt;400,D41&gt;1),"Çok Az",IF(D41&gt;100000,"Çok Yüksek",IF(D41=0,""))))))</f>
        <v/>
      </c>
      <c r="L45" s="837"/>
      <c r="M45" s="3"/>
    </row>
    <row r="46" spans="1:13" ht="16.5" thickBot="1">
      <c r="A46" s="34" t="s">
        <v>103</v>
      </c>
      <c r="B46" s="35" t="s">
        <v>186</v>
      </c>
      <c r="C46" s="37">
        <f>40*(C43*9.81)</f>
        <v>0</v>
      </c>
      <c r="D46" s="37">
        <f>40*(D43*9.81)</f>
        <v>0</v>
      </c>
      <c r="E46" s="3"/>
      <c r="F46" s="3"/>
      <c r="G46" s="3"/>
      <c r="H46" s="3"/>
      <c r="I46" s="844" t="s">
        <v>29</v>
      </c>
      <c r="J46" s="845"/>
      <c r="K46" s="845"/>
      <c r="L46" s="846"/>
      <c r="M46" s="282" t="s">
        <v>473</v>
      </c>
    </row>
    <row r="47" spans="1:13" ht="16.5" thickBot="1">
      <c r="A47" s="34" t="s">
        <v>104</v>
      </c>
      <c r="B47" s="35" t="s">
        <v>106</v>
      </c>
      <c r="C47" s="38" t="e">
        <f>C42*0.67</f>
        <v>#DIV/0!</v>
      </c>
      <c r="D47" s="38" t="e">
        <f>C42*1.5</f>
        <v>#DIV/0!</v>
      </c>
      <c r="E47" s="3"/>
      <c r="F47" s="3"/>
      <c r="G47" s="3"/>
      <c r="H47" s="3"/>
      <c r="I47" s="836" t="str">
        <f>IF(ISERROR( IF(AND(C42&gt;0.3,C42&lt;=0.5),"B - Orta Tehlike",IF(AND(C42&gt;0.5,C42&lt;=0.7),"C - Yüksek Tehlike",IF(C42&lt;=0.3,"A - Düşük Tehlike",IF(C42&gt;0.7,"D - Çok Yüksek Tehlike"))))),"", IF(AND(C42&gt;0.3,C42&lt;=0.5),"B - Orta Tehlike",IF(AND(C42&gt;0.5,C42&lt;=0.7),"C - Yüksek Tehlike",IF(C42&lt;=0.3,"A - Düşük Tehlike",IF(C42&gt;0.7,"D - Çok Yüksek Tehlike")))))</f>
        <v/>
      </c>
      <c r="J47" s="843"/>
      <c r="K47" s="843"/>
      <c r="L47" s="837"/>
      <c r="M47" s="3"/>
    </row>
    <row r="48" spans="1:13" ht="16.5" thickBot="1">
      <c r="A48" s="34" t="s">
        <v>105</v>
      </c>
      <c r="B48" s="36"/>
      <c r="C48" s="38" t="e">
        <f>-0.175*LN(C33)+1.56</f>
        <v>#NUM!</v>
      </c>
      <c r="D48" s="38" t="e">
        <f>-0.175*LN(D33)+1.56</f>
        <v>#NUM!</v>
      </c>
      <c r="E48" s="3"/>
      <c r="F48" s="3"/>
      <c r="G48" s="3"/>
      <c r="H48" s="3"/>
      <c r="I48" s="847" t="s">
        <v>30</v>
      </c>
      <c r="J48" s="848"/>
      <c r="K48" s="848"/>
      <c r="L48" s="849"/>
      <c r="M48" s="282" t="s">
        <v>472</v>
      </c>
    </row>
    <row r="49" spans="1:17" ht="16.5" thickBot="1">
      <c r="A49" s="34" t="s">
        <v>448</v>
      </c>
      <c r="B49" s="39" t="s">
        <v>479</v>
      </c>
      <c r="C49" s="858" t="e">
        <f>700/C52</f>
        <v>#DIV/0!</v>
      </c>
      <c r="D49" s="859"/>
      <c r="E49" s="3"/>
      <c r="F49" s="853" t="s">
        <v>107</v>
      </c>
      <c r="G49" s="854"/>
      <c r="H49" s="855"/>
      <c r="I49" s="836" t="str">
        <f>IF(ISERROR(IF(AND(C49&gt;2.5,C49&lt;=4),"B - Orta Tehlike",IF(AND(C49&gt;4,C49&lt;=6.5),"C - Yüksek Tehlike",IF(C49&lt;=2.5,"A - Düşük Tehlike",IF(C49&gt;6.5,"D - Çok Yüksek Tehlike"))))),"",IF(AND(C49&gt;2.5,C49&lt;=4),"B - Orta Tehlike",IF(AND(C49&gt;4,C49&lt;=6.5),"C - Yüksek Tehlike",IF(C49&lt;=2.5,"A - Düşük Tehlike",IF(C49&gt;6.5,"D - Çok Yüksek Tehlike")))))</f>
        <v/>
      </c>
      <c r="J49" s="843"/>
      <c r="K49" s="843"/>
      <c r="L49" s="837"/>
      <c r="M49" s="3"/>
    </row>
    <row r="50" spans="1:17" ht="16.5" thickBot="1">
      <c r="A50" s="34" t="s">
        <v>449</v>
      </c>
      <c r="B50" s="39" t="s">
        <v>479</v>
      </c>
      <c r="C50" s="858" t="e">
        <f>600/C52</f>
        <v>#DIV/0!</v>
      </c>
      <c r="D50" s="859"/>
      <c r="E50" s="3"/>
      <c r="F50" s="850" t="s">
        <v>108</v>
      </c>
      <c r="G50" s="851"/>
      <c r="H50" s="852"/>
      <c r="I50" s="836" t="str">
        <f>IF(ISERROR(IF(AND(C50&gt;2.5,C50&lt;=4),"B - Orta Tehlike",IF(AND(C50&gt;4,C50&lt;=6.5),"C - Yüksek Tehlike",IF(C50&lt;=2.5,"A - Düşük Tehlike",IF(C50&gt;6.5,"D - Çok Yüksek Tehlike"))))),"",IF(AND(C50&gt;2.5,C50&lt;=4),"B - Orta Tehlike",IF(AND(C50&gt;4,C50&lt;=6.5),"C - Yüksek Tehlike",IF(C50&lt;=2.5,"A - Düşük Tehlike",IF(C50&gt;6.5,"D - Çok Yüksek Tehlike")))))</f>
        <v/>
      </c>
      <c r="J50" s="843"/>
      <c r="K50" s="843"/>
      <c r="L50" s="837"/>
      <c r="M50" s="3"/>
    </row>
    <row r="51" spans="1:17" ht="15.75">
      <c r="A51" s="34" t="s">
        <v>130</v>
      </c>
      <c r="B51" s="42" t="s">
        <v>131</v>
      </c>
      <c r="C51" s="38" t="e">
        <f>(3/4*(C40/1000)*(C43/0.333))</f>
        <v>#DIV/0!</v>
      </c>
      <c r="D51" s="38" t="e">
        <f>(3/4*(D40/1000)*(D43/0.333))</f>
        <v>#DIV/0!</v>
      </c>
      <c r="M51" s="3"/>
    </row>
    <row r="52" spans="1:17" ht="15.75">
      <c r="A52" s="58" t="s">
        <v>447</v>
      </c>
      <c r="B52" s="35" t="s">
        <v>191</v>
      </c>
      <c r="C52" s="834">
        <f>IF(I206=3,C53,IF(I206=2,D214,""))</f>
        <v>0</v>
      </c>
      <c r="D52" s="835"/>
      <c r="M52" s="3"/>
    </row>
    <row r="53" spans="1:17" ht="21" customHeight="1" thickBot="1">
      <c r="C53" s="832"/>
      <c r="D53" s="833"/>
      <c r="E53" s="12"/>
      <c r="F53" s="12"/>
      <c r="G53" s="12"/>
      <c r="H53" s="12"/>
      <c r="I53" s="12"/>
      <c r="J53" s="12"/>
      <c r="K53" s="12"/>
      <c r="L53" s="12"/>
      <c r="M53" s="12"/>
    </row>
    <row r="54" spans="1:17" ht="15.75" customHeight="1" thickBot="1">
      <c r="A54" s="893" t="s">
        <v>48</v>
      </c>
      <c r="B54" s="3"/>
      <c r="C54" s="23"/>
      <c r="D54" s="23"/>
      <c r="E54" s="24"/>
      <c r="F54" s="25" t="s">
        <v>367</v>
      </c>
      <c r="G54" s="26"/>
      <c r="H54" s="26"/>
      <c r="I54" s="27"/>
      <c r="J54" s="27"/>
      <c r="K54" s="50"/>
      <c r="L54" s="3"/>
    </row>
    <row r="55" spans="1:17" ht="15.75" customHeight="1" thickBot="1">
      <c r="A55" s="894"/>
      <c r="B55" s="3"/>
      <c r="C55" s="23"/>
      <c r="D55" s="23"/>
      <c r="E55" s="3"/>
      <c r="F55" s="3"/>
      <c r="G55" s="262" t="str">
        <f>IF(AND(C60&lt;180,C60&gt;=0.1),"Zayıf Zemin",IF(AND(C60&gt;180,C60&lt;=360),"Sert/Sıkı ",IF(AND(C60&gt;360,C60&lt;=760),"ÇokSıkı Sert Zemin/ Y. Kaya",IF(AND(C60&gt;760,C60&lt;=1500),"Kaya",IF(C60=0,"",IF(C60&gt;1500,"Sert Kaya"))))))</f>
        <v/>
      </c>
      <c r="H55" s="265"/>
      <c r="I55" s="265"/>
      <c r="J55" s="265"/>
      <c r="K55" s="870" t="s">
        <v>129</v>
      </c>
      <c r="L55" s="3"/>
      <c r="M55" s="3"/>
    </row>
    <row r="56" spans="1:17" ht="16.5" customHeight="1" thickBot="1">
      <c r="A56" s="889" t="s">
        <v>419</v>
      </c>
      <c r="B56" s="890"/>
      <c r="C56" s="890"/>
      <c r="D56" s="890"/>
      <c r="E56" s="865"/>
      <c r="F56" s="866"/>
      <c r="G56" s="263"/>
      <c r="H56" s="867" t="str">
        <f>IF(AND(D60&lt;180,D60&gt;=0.1),"Zayıf",IF(AND(D60&gt;180,D60&lt;=360),"Sert/Sıkı ",IF(AND(D60&gt;360,D60&lt;=760),"ÇokSıkı Sert Zemin/ Y. Kaya",IF(AND(D60&gt;760,D60&lt;=1500),"Kaya",IF(D60=0,"",IF(D60&gt;1500,"Sert Kaya"))))))</f>
        <v/>
      </c>
      <c r="I56" s="867"/>
      <c r="J56" s="867"/>
      <c r="K56" s="871"/>
      <c r="L56" s="3"/>
      <c r="M56" s="3"/>
    </row>
    <row r="57" spans="1:17" ht="16.5" customHeight="1" thickBot="1">
      <c r="A57" s="891" t="s">
        <v>0</v>
      </c>
      <c r="B57" s="887" t="s">
        <v>1</v>
      </c>
      <c r="C57" s="28" t="s">
        <v>52</v>
      </c>
      <c r="D57" s="242" t="s">
        <v>53</v>
      </c>
      <c r="E57" s="866"/>
      <c r="F57" s="866"/>
      <c r="G57" s="263"/>
      <c r="H57" s="91"/>
      <c r="I57" s="868" t="s">
        <v>2</v>
      </c>
      <c r="J57" s="869"/>
      <c r="K57" s="868" t="s">
        <v>3</v>
      </c>
      <c r="L57" s="869"/>
      <c r="M57" s="3"/>
    </row>
    <row r="58" spans="1:17" ht="16.5" customHeight="1" thickBot="1">
      <c r="A58" s="892"/>
      <c r="B58" s="888"/>
      <c r="C58" s="261" t="str">
        <f>G60</f>
        <v/>
      </c>
      <c r="D58" s="260" t="str">
        <f>H60</f>
        <v/>
      </c>
      <c r="E58" s="885" t="s">
        <v>457</v>
      </c>
      <c r="F58" s="886"/>
      <c r="G58" s="263"/>
      <c r="H58" s="91"/>
      <c r="I58" s="840" t="s">
        <v>22</v>
      </c>
      <c r="J58" s="841"/>
      <c r="K58" s="841"/>
      <c r="L58" s="841"/>
      <c r="M58" s="282" t="s">
        <v>475</v>
      </c>
    </row>
    <row r="59" spans="1:17" ht="16.5" thickBot="1">
      <c r="A59" s="29" t="s">
        <v>4</v>
      </c>
      <c r="B59" s="30" t="s">
        <v>5</v>
      </c>
      <c r="C59" s="90"/>
      <c r="D59" s="90"/>
      <c r="E59" s="3"/>
      <c r="F59" s="3"/>
      <c r="G59" s="263"/>
      <c r="H59" s="91"/>
      <c r="I59" s="836" t="str">
        <f>IF(AND(C59&gt;1,C59&lt;=600),"Çok kolay",IF(AND(C59&gt;1500,C59&lt;=2100),"Zor",IF(AND(C59&gt;600,C59&lt;=900),"Kolay",IF(AND(C59&gt;900,C59&lt;=1500),"Orta",IF(AND(C59&gt;2100,C59&lt;=2400),"Çok Zor",IF(C59=0," ",IF(C59&gt;2400,"Son Derece Zor")))))))</f>
        <v xml:space="preserve"> </v>
      </c>
      <c r="J59" s="837"/>
      <c r="K59" s="836" t="str">
        <f>IF(AND(D59&gt;1,D59&lt;=600),"Çok kolay",IF(AND(D59&gt;1500,D59&lt;=2100),"Zor",IF(AND(D59&gt;600,D59&lt;=900),"Kolay",IF(AND(D59&gt;900,D59&lt;=1500),"Orta",IF(AND(D59&gt;2100,D59&lt;=2400),"Çok Zor",IF(D59=0,"",IF(D59&gt;2400,"Son Derece Zor")))))))</f>
        <v/>
      </c>
      <c r="L59" s="837"/>
      <c r="M59" s="3"/>
    </row>
    <row r="60" spans="1:17" ht="16.5" thickBot="1">
      <c r="A60" s="31" t="s">
        <v>6</v>
      </c>
      <c r="B60" s="32" t="s">
        <v>7</v>
      </c>
      <c r="C60" s="90"/>
      <c r="D60" s="90"/>
      <c r="E60" s="321"/>
      <c r="F60" s="321"/>
      <c r="G60" s="264" t="str">
        <f>IF(AND(C60&lt;=180,C60&gt;0.1),"E",IF(AND(C60&gt;180,C60&lt;=360),"D",IF(AND(C60&gt;360,C60&lt;=760),"C",IF(AND(C60&gt;760,C60&lt;=1500),"B",IF(C60=0,"",IF(C60&gt;1500,"A"))))))</f>
        <v/>
      </c>
      <c r="H60" s="259" t="str">
        <f>IF(AND(D60&lt;=180,D60&gt;0.1),"E",IF(AND(D60&gt;180,D60&lt;=360),"D",IF(AND(D60&gt;360,D60&lt;=760),"C",IF(AND(D60&gt;760,D60&lt;=1500),"B",IF(D60=0,"",IF(D60&gt;1500,"A"))))))</f>
        <v/>
      </c>
      <c r="I60" s="840" t="s">
        <v>23</v>
      </c>
      <c r="J60" s="841"/>
      <c r="K60" s="841"/>
      <c r="L60" s="841"/>
      <c r="M60" s="282" t="s">
        <v>474</v>
      </c>
    </row>
    <row r="61" spans="1:17" ht="16.5" thickBot="1">
      <c r="A61" s="31" t="s">
        <v>192</v>
      </c>
      <c r="B61" s="32" t="s">
        <v>193</v>
      </c>
      <c r="C61" s="830"/>
      <c r="D61" s="831"/>
      <c r="E61" s="19"/>
      <c r="F61" s="19"/>
      <c r="G61" s="3"/>
      <c r="H61" s="3"/>
      <c r="I61" s="836" t="str">
        <f>IF(AND(C62&gt;1.2,C62&lt;=1.4),"Düşük",IF(AND(C62&gt;1.4,C62&lt;=1.9),"Orta",IF(AND(C62&gt;1.9,C62&lt;=2.2),"Yüksek",IF(C62=0,"",IF(AND(C62&lt;1.2,C62&gt;0.1),"Çok Düşük",IF(C62&gt;2.2,"Çok Yüksek"))))))</f>
        <v/>
      </c>
      <c r="J61" s="843"/>
      <c r="K61" s="836" t="str">
        <f>IF(AND(D62&gt;1.2,D62&lt;=1.4),"Düşük",IF(AND(D62&gt;1.4,D62&lt;=1.9),"Orta",IF(AND(D62&gt;1.9,D62&lt;=2.2),"Yüksek",IF(D62=0,"",IF(AND(D62&lt;1.2,D62&gt;0.1),"Çok Düşük",IF(D62&gt;2.2,"Çok Yüksek"))))))</f>
        <v/>
      </c>
      <c r="L61" s="837"/>
      <c r="M61" s="3"/>
    </row>
    <row r="62" spans="1:17" ht="16.5" thickBot="1">
      <c r="A62" s="31" t="s">
        <v>8</v>
      </c>
      <c r="B62" s="32" t="s">
        <v>9</v>
      </c>
      <c r="C62" s="14">
        <f>ROUND(D243,2)</f>
        <v>0</v>
      </c>
      <c r="D62" s="14">
        <f>ROUND(E243,2)</f>
        <v>0</v>
      </c>
      <c r="E62" s="856"/>
      <c r="F62" s="857"/>
      <c r="G62" s="857"/>
      <c r="H62" s="3"/>
      <c r="I62" s="840" t="s">
        <v>24</v>
      </c>
      <c r="J62" s="841"/>
      <c r="K62" s="841"/>
      <c r="L62" s="842"/>
      <c r="M62" s="282" t="s">
        <v>476</v>
      </c>
      <c r="P62" s="836" t="s">
        <v>567</v>
      </c>
      <c r="Q62" s="843"/>
    </row>
    <row r="63" spans="1:17" ht="16.5" thickBot="1">
      <c r="A63" s="31" t="s">
        <v>10</v>
      </c>
      <c r="B63" s="32" t="s">
        <v>11</v>
      </c>
      <c r="C63" s="14" t="e">
        <f>C59/C60</f>
        <v>#DIV/0!</v>
      </c>
      <c r="D63" s="14" t="e">
        <f>D59/D60</f>
        <v>#DIV/0!</v>
      </c>
      <c r="E63" s="49"/>
      <c r="F63" s="49"/>
      <c r="G63" s="3"/>
      <c r="H63" s="3"/>
      <c r="I63" s="836" t="str">
        <f>IF(ISERROR(IF(AND(C63&gt;1.5,C63&lt;=1.71),"Katı",IF(AND(C63&gt;1.71,C63&lt;=1.87),"Sıkı-Katı",IF(AND(C63&gt;1.87,C63&lt;=2.49),"Gevşek",IF(AND(C63&gt;2.49,C63&lt;=3),"Çok Gevşek",IF(C63&lt;=1.5,"Sağlam Kaya",IF(C63&gt;3,"Cıvık-Sıvı"))))))),"",IF(AND(C63&gt;1.5,C63&lt;=1.71),"Katı",IF(AND(C63&gt;1.71,C63&lt;=1.87),"Sıkı-Katı",IF(AND(C63&gt;1.87,C63&lt;=2.49),"Gevşek",IF(AND(C63&gt;2.49,C63&lt;=3),"Çok Gevşek",IF(C63&lt;=1.5,"Sağlam Kaya",IF(C63&gt;3,"Cıvık-Sıvı")))))))</f>
        <v/>
      </c>
      <c r="J63" s="843"/>
      <c r="K63" s="836" t="str">
        <f>IF(ISERROR(IF(AND(D63&gt;1.5,D63&lt;=1.71),"Katı",IF(AND(D63&gt;1.71,D63&lt;=1.87),"Sıkı-Katı",IF(AND(D63&gt;1.87,D63&lt;=2.49),"Gevşek",IF(AND(D63&gt;2.49,D63&lt;=3),"Çok Gevşek",IF(D63&lt;=1.5,"Sağlam Kaya",IF(D63&gt;3,"Cıvık-Sıvı"))))))),"",IF(AND(D63&gt;1.5,D63&lt;=1.71),"Katı",IF(AND(D63&gt;1.71,D63&lt;=1.87),"Sıkı-Katı",IF(AND(D63&gt;1.87,D63&lt;=2.49),"Gevşek",IF(AND(D63&gt;2.49,D63&lt;=3),"Çok Gevşek",IF(D63&lt;=1.5,"Sağlam Kaya",IF(D63&gt;3,"Cıvık-Sıvı")))))))</f>
        <v/>
      </c>
      <c r="L63" s="837"/>
      <c r="M63" s="3"/>
    </row>
    <row r="64" spans="1:17" ht="16.5" thickBot="1">
      <c r="A64" s="31" t="s">
        <v>12</v>
      </c>
      <c r="B64" s="32" t="s">
        <v>13</v>
      </c>
      <c r="C64" s="14" t="e">
        <f>(C59^2-2*C60^2)/(2*C59^2-2*C60^2)</f>
        <v>#DIV/0!</v>
      </c>
      <c r="D64" s="14" t="e">
        <f>(D59^2-2*D60^2)/(2*D59^2-2*D60^2)</f>
        <v>#DIV/0!</v>
      </c>
      <c r="G64" s="3"/>
      <c r="H64" s="3"/>
      <c r="I64" s="840" t="s">
        <v>25</v>
      </c>
      <c r="J64" s="841"/>
      <c r="K64" s="841"/>
      <c r="L64" s="842"/>
      <c r="M64" s="282" t="s">
        <v>474</v>
      </c>
    </row>
    <row r="65" spans="1:16" ht="16.5" thickBot="1">
      <c r="A65" s="31" t="s">
        <v>14</v>
      </c>
      <c r="B65" s="32" t="s">
        <v>15</v>
      </c>
      <c r="C65" s="13">
        <f>C62*(C60^2)/100</f>
        <v>0</v>
      </c>
      <c r="D65" s="13">
        <f>D62*(D60^2)/100</f>
        <v>0</v>
      </c>
      <c r="E65" s="49"/>
      <c r="F65" s="49"/>
      <c r="G65" s="3"/>
      <c r="H65" s="3"/>
      <c r="I65" s="836" t="e">
        <f>IF(AND(C64&gt;=0.1,C64&lt;0.2),"Katı",IF(AND(C64&gt;=0.2,C64&lt;0.3),"Sıkı-Katı",IF(AND(C64&gt;=0.3,C64&lt;0.4),"Gevşek",IF(AND(C64&gt;=0.4,C64&lt;0.5),"Çok Gevşek",IF(C64&lt;0.1,"Sağlam Kaya",IF(C64&gt;=0.5,"Cıvık-Sıvı"))))))</f>
        <v>#DIV/0!</v>
      </c>
      <c r="J65" s="843"/>
      <c r="K65" s="836" t="e">
        <f>IF(AND(D64&gt;=0.1,D64&lt;0.2),"Katı",IF(AND(D64&gt;=0.2,D64&lt;0.3),"Sıkı-Katı",IF(AND(D64&gt;=0.3,D64&lt;0.4),"Gevşek",IF(AND(D64&gt;=0.4,D64&lt;0.5),"Çok Gevşek",IF(D64&lt;0.1,"Sağlam Kaya",IF(D64&gt;=0.5,"Cıvık-Sıvı"))))))</f>
        <v>#DIV/0!</v>
      </c>
      <c r="L65" s="843"/>
      <c r="M65" s="3"/>
    </row>
    <row r="66" spans="1:16" ht="16.5" thickBot="1">
      <c r="A66" s="31" t="s">
        <v>16</v>
      </c>
      <c r="B66" s="32" t="s">
        <v>17</v>
      </c>
      <c r="C66" s="15" t="e">
        <f>C65*(((3*C59^2)-(4*(C60^2)))/(C59^2-C60^2))</f>
        <v>#DIV/0!</v>
      </c>
      <c r="D66" s="15" t="e">
        <f>D65*(((3*D59^2)-(4*(D60^2)))/(D59^2-D60^2))</f>
        <v>#DIV/0!</v>
      </c>
      <c r="E66" s="3"/>
      <c r="F66" s="3"/>
      <c r="G66" s="3"/>
      <c r="H66" s="3"/>
      <c r="I66" s="840" t="s">
        <v>26</v>
      </c>
      <c r="J66" s="841"/>
      <c r="K66" s="841"/>
      <c r="L66" s="842"/>
      <c r="M66" s="282" t="s">
        <v>474</v>
      </c>
    </row>
    <row r="67" spans="1:16" ht="16.5" thickBot="1">
      <c r="A67" s="31" t="s">
        <v>229</v>
      </c>
      <c r="B67" s="32" t="s">
        <v>18</v>
      </c>
      <c r="C67" s="16">
        <f>(C62*(C59^2-(4/3*C60^2)))/100</f>
        <v>0</v>
      </c>
      <c r="D67" s="16">
        <f>(D62*(D59^2-(4/3*D60^2)))/100</f>
        <v>0</v>
      </c>
      <c r="E67" s="19"/>
      <c r="F67" s="19"/>
      <c r="G67" s="3"/>
      <c r="H67" s="3"/>
      <c r="I67" s="836" t="str">
        <f>IF(AND(C65&gt;0,C65&lt;=400),"Çok Zayıf",IF(AND(C65&gt;400,C65&lt;=1500),"Zayıf",IF(AND(C65&gt;1500,C65&lt;=3000),"Orta",IF(AND(C65&gt;3000,C65&lt;=10000),"Sağlam",IF(C65=0," ",IF(C65&gt;10000,"Çok Sağlam"))))))</f>
        <v xml:space="preserve"> </v>
      </c>
      <c r="J67" s="843"/>
      <c r="K67" s="836" t="str">
        <f>IF(AND(D65&gt;0,D65&lt;=400),"Çok Zayıf",IF(AND(D65&gt;400,D65&lt;=1500),"Zayıf",IF(AND(D65&gt;1500,D65&lt;=3000),"Orta",IF(AND(D65&gt;3000,D65&lt;=10000),"Sağlam",IF(D65=0," ",IF(D65&gt;10000,"Çok Sağlam"))))))</f>
        <v xml:space="preserve"> </v>
      </c>
      <c r="L67" s="837"/>
      <c r="M67" s="3"/>
    </row>
    <row r="68" spans="1:16" ht="16.5" thickBot="1">
      <c r="A68" s="31" t="s">
        <v>19</v>
      </c>
      <c r="B68" s="32" t="s">
        <v>20</v>
      </c>
      <c r="C68" s="838" t="e">
        <f>4*((C61/C60)+((50-C61)/D60))</f>
        <v>#DIV/0!</v>
      </c>
      <c r="D68" s="839"/>
      <c r="G68" s="3"/>
      <c r="H68" s="3"/>
      <c r="I68" s="840" t="s">
        <v>27</v>
      </c>
      <c r="J68" s="841"/>
      <c r="K68" s="841"/>
      <c r="L68" s="842"/>
      <c r="M68" s="282" t="s">
        <v>474</v>
      </c>
    </row>
    <row r="69" spans="1:16" ht="16.5" thickBot="1">
      <c r="A69" s="31" t="s">
        <v>21</v>
      </c>
      <c r="B69" s="32" t="s">
        <v>742</v>
      </c>
      <c r="C69" s="14">
        <f>(C62*C60)/100</f>
        <v>0</v>
      </c>
      <c r="D69" s="14">
        <f>(D62*D60)/100</f>
        <v>0</v>
      </c>
      <c r="E69" s="49"/>
      <c r="F69" s="49"/>
      <c r="G69" s="3"/>
      <c r="H69" s="3"/>
      <c r="I69" s="836" t="str">
        <f>IF(ISERROR( IF(AND(C66&gt;1000,C66&lt;=5000),"Zayıf",IF(AND(C66&gt;5000,C66&lt;=10000),"Orta",IF(AND(C66&gt;10000,C66&lt;=30000),"Sağlam",IF(C66&lt;=1000,"Çok Zayıf",IF(C66&gt;30000,"Çok Sağlam")))))),"", IF(AND(C66&gt;1000,C66&lt;=5000),"Zayıf",IF(AND(C66&gt;5000,C66&lt;=10000),"Orta",IF(AND(C66&gt;10000,C66&lt;=30000),"Sağlam",IF(C66&lt;=1000,"Çok Zayıf",IF(C66&gt;30000,"Çok Sağlam"))))))</f>
        <v/>
      </c>
      <c r="J69" s="843"/>
      <c r="K69" s="836" t="str">
        <f>IF(ISERROR( IF(AND(D66&gt;1000,D66&lt;5000),"Zayıf",IF(AND(D66&gt;5001,D66&lt;10000),"Orta",IF(AND(D66&gt;10001,D66&lt;30000),"Sağlam",IF(D66&lt;1000,"Çok Zayıf",IF(D66&gt;30000,"Çok Sağlam")))))),"", IF(AND(D66&gt;1000,D66&lt;5000),"Zayıf",IF(AND(D66&gt;5001,D66&lt;10000),"Orta",IF(AND(D66&gt;10001,D66&lt;30000),"Sağlam",IF(D66&lt;1000,"Çok Zayıf",IF(D66&gt;30000,"Çok Sağlam"))))))</f>
        <v/>
      </c>
      <c r="L69" s="837"/>
      <c r="M69" s="3"/>
    </row>
    <row r="70" spans="1:16" ht="16.5" thickBot="1">
      <c r="A70" s="31" t="s">
        <v>743</v>
      </c>
      <c r="B70" s="32" t="s">
        <v>744</v>
      </c>
      <c r="C70" s="14" t="e">
        <f>((C62*C60^2)/C59)/100</f>
        <v>#DIV/0!</v>
      </c>
      <c r="D70" s="14" t="e">
        <f>((D62*D60^2)/D59)/100</f>
        <v>#DIV/0!</v>
      </c>
      <c r="E70" s="22"/>
      <c r="F70" s="49"/>
      <c r="G70" s="49"/>
      <c r="H70" s="3"/>
      <c r="I70" s="840" t="s">
        <v>28</v>
      </c>
      <c r="J70" s="841"/>
      <c r="K70" s="841"/>
      <c r="L70" s="842"/>
      <c r="M70" s="282" t="s">
        <v>474</v>
      </c>
    </row>
    <row r="71" spans="1:16" ht="16.5" thickBot="1">
      <c r="A71" s="31" t="s">
        <v>128</v>
      </c>
      <c r="B71" s="32" t="s">
        <v>132</v>
      </c>
      <c r="C71" s="14" t="e">
        <f>(C69/C66)*C61*100</f>
        <v>#DIV/0!</v>
      </c>
      <c r="D71" s="14" t="e">
        <f>(D69/D66)*C61*100</f>
        <v>#DIV/0!</v>
      </c>
      <c r="E71" s="3"/>
      <c r="F71" s="3"/>
      <c r="G71" s="3"/>
      <c r="H71" s="3"/>
      <c r="I71" s="836" t="str">
        <f>IF(AND(C67&gt;400,C67&lt;10000),"Az",IF(AND(C67&gt;10001,C67&lt;40000),"Orta",IF(AND(C67&gt;40001,C67&lt;100000),"Yüksek",IF(AND(C67&lt;400,C67&gt;1),"Çok Az",IF(C67&gt;100000,"Çok Yüksek",IF(C67=0,""))))))</f>
        <v/>
      </c>
      <c r="J71" s="843"/>
      <c r="K71" s="836" t="str">
        <f>IF(AND(D67&gt;400,D67&lt;10000),"Az",IF(AND(D67&gt;10001,D67&lt;40000),"Orta",IF(AND(D67&gt;40001,D67&lt;100000),"Yüksek",IF(AND(D67&lt;400,D67&gt;1),"Çok Az",IF(D67&gt;100000,"Çok Yüksek",IF(D67=0,""))))))</f>
        <v/>
      </c>
      <c r="L71" s="837"/>
      <c r="M71" s="3"/>
    </row>
    <row r="72" spans="1:16" ht="16.5" thickBot="1">
      <c r="A72" s="34" t="s">
        <v>103</v>
      </c>
      <c r="B72" s="35" t="s">
        <v>186</v>
      </c>
      <c r="C72" s="37">
        <f>40*(C69*9.81)</f>
        <v>0</v>
      </c>
      <c r="D72" s="37">
        <f>40*(D69*9.81)</f>
        <v>0</v>
      </c>
      <c r="E72" s="3"/>
      <c r="F72" s="3"/>
      <c r="G72" s="3"/>
      <c r="H72" s="3"/>
      <c r="I72" s="844" t="s">
        <v>29</v>
      </c>
      <c r="J72" s="845"/>
      <c r="K72" s="845"/>
      <c r="L72" s="846"/>
      <c r="M72" s="282" t="s">
        <v>473</v>
      </c>
    </row>
    <row r="73" spans="1:16" ht="16.5" thickBot="1">
      <c r="A73" s="34" t="s">
        <v>104</v>
      </c>
      <c r="B73" s="35" t="s">
        <v>106</v>
      </c>
      <c r="C73" s="38" t="e">
        <f>C68*0.67</f>
        <v>#DIV/0!</v>
      </c>
      <c r="D73" s="38" t="e">
        <f>C68*1.5</f>
        <v>#DIV/0!</v>
      </c>
      <c r="E73" s="3"/>
      <c r="F73" s="3"/>
      <c r="G73" s="3"/>
      <c r="H73" s="3"/>
      <c r="I73" s="836" t="str">
        <f>IF(ISERROR( IF(AND(C68&gt;0.3,C68&lt;=0.5),"B - Orta Tehlike",IF(AND(C68&gt;0.5,C68&lt;=0.7),"C - Yüksek Tehlike",IF(C68&lt;=0.3,"A - Düşük Tehlike",IF(C68&gt;0.7,"D - Çok Yüksek Tehlike"))))),"", IF(AND(C68&gt;0.3,C68&lt;=0.5),"B - Orta Tehlike",IF(AND(C68&gt;0.5,C68&lt;=0.7),"C - Yüksek Tehlike",IF(C68&lt;=0.3,"A - Düşük Tehlike",IF(C68&gt;0.7,"D - Çok Yüksek Tehlike")))))</f>
        <v/>
      </c>
      <c r="J73" s="843"/>
      <c r="K73" s="843"/>
      <c r="L73" s="837"/>
      <c r="M73" s="3"/>
    </row>
    <row r="74" spans="1:16" ht="16.5" thickBot="1">
      <c r="A74" s="34" t="s">
        <v>105</v>
      </c>
      <c r="B74" s="36"/>
      <c r="C74" s="38" t="e">
        <f>-0.175*LN(C59)+1.56</f>
        <v>#NUM!</v>
      </c>
      <c r="D74" s="38" t="e">
        <f>-0.175*LN(D59)+1.56</f>
        <v>#NUM!</v>
      </c>
      <c r="E74" s="3"/>
      <c r="F74" s="3"/>
      <c r="G74" s="3"/>
      <c r="H74" s="3"/>
      <c r="I74" s="847" t="s">
        <v>30</v>
      </c>
      <c r="J74" s="848"/>
      <c r="K74" s="848"/>
      <c r="L74" s="849"/>
      <c r="M74" s="282" t="s">
        <v>472</v>
      </c>
    </row>
    <row r="75" spans="1:16" ht="16.5" thickBot="1">
      <c r="A75" s="34" t="s">
        <v>448</v>
      </c>
      <c r="B75" s="39" t="s">
        <v>479</v>
      </c>
      <c r="C75" s="858" t="e">
        <f>700/C78</f>
        <v>#DIV/0!</v>
      </c>
      <c r="D75" s="859"/>
      <c r="E75" s="3"/>
      <c r="F75" s="853" t="s">
        <v>107</v>
      </c>
      <c r="G75" s="854"/>
      <c r="H75" s="855"/>
      <c r="I75" s="836" t="str">
        <f>IF(ISERROR(IF(AND(C75&gt;2.5,C75&lt;=4),"B - Orta Tehlike",IF(AND(C75&gt;4,C75&lt;=6.5),"C - Yüksek Tehlike",IF(C75&lt;=2.5,"A - Düşük Tehlike",IF(C75&gt;6.5,"D - Çok Yüksek Tehlike"))))),"",IF(AND(C75&gt;2.5,C75&lt;=4),"B - Orta Tehlike",IF(AND(C75&gt;4,C75&lt;=6.5),"C - Yüksek Tehlike",IF(C75&lt;=2.5,"A - Düşük Tehlike",IF(C75&gt;6.5,"D - Çok Yüksek Tehlike")))))</f>
        <v/>
      </c>
      <c r="J75" s="843"/>
      <c r="K75" s="843"/>
      <c r="L75" s="837"/>
      <c r="M75" s="3"/>
    </row>
    <row r="76" spans="1:16" ht="16.5" thickBot="1">
      <c r="A76" s="34" t="s">
        <v>449</v>
      </c>
      <c r="B76" s="39" t="s">
        <v>479</v>
      </c>
      <c r="C76" s="858" t="e">
        <f>600/C78</f>
        <v>#DIV/0!</v>
      </c>
      <c r="D76" s="859"/>
      <c r="E76" s="3"/>
      <c r="F76" s="850" t="s">
        <v>108</v>
      </c>
      <c r="G76" s="851"/>
      <c r="H76" s="852"/>
      <c r="I76" s="836" t="str">
        <f>IF(ISERROR(IF(AND(C76&gt;2.5,C76&lt;=4),"B - Orta Tehlike",IF(AND(C76&gt;4,C76&lt;=6.5),"C - Yüksek Tehlike",IF(C76&lt;=2.5,"A - Düşük Tehlike",IF(C76&gt;6.5,"D - Çok Yüksek Tehlike"))))),"",IF(AND(C76&gt;2.5,C76&lt;=4),"B - Orta Tehlike",IF(AND(C76&gt;4,C76&lt;=6.5),"C - Yüksek Tehlike",IF(C76&lt;=2.5,"A - Düşük Tehlike",IF(C76&gt;6.5,"D - Çok Yüksek Tehlike")))))</f>
        <v/>
      </c>
      <c r="J76" s="843"/>
      <c r="K76" s="843"/>
      <c r="L76" s="837"/>
      <c r="M76" s="3"/>
    </row>
    <row r="77" spans="1:16" ht="21" customHeight="1">
      <c r="A77" s="34" t="s">
        <v>130</v>
      </c>
      <c r="B77" s="42" t="s">
        <v>131</v>
      </c>
      <c r="C77" s="38" t="e">
        <f>(3/4*(C66/1000)*(C69/0.333))</f>
        <v>#DIV/0!</v>
      </c>
      <c r="D77" s="38" t="e">
        <f>(3/4*(D66/1000)*(D69/0.333))</f>
        <v>#DIV/0!</v>
      </c>
      <c r="M77" s="3"/>
      <c r="N77" s="12"/>
      <c r="O77" s="12"/>
      <c r="P77" s="12"/>
    </row>
    <row r="78" spans="1:16" ht="15.75" customHeight="1">
      <c r="A78" s="58" t="s">
        <v>447</v>
      </c>
      <c r="B78" s="35" t="s">
        <v>191</v>
      </c>
      <c r="C78" s="834">
        <f>IF(I206=3,C79,IF(I206=2,D215,""))</f>
        <v>0</v>
      </c>
      <c r="D78" s="835"/>
      <c r="M78" s="3"/>
      <c r="N78" s="12"/>
      <c r="O78" s="12"/>
      <c r="P78" s="12"/>
    </row>
    <row r="79" spans="1:16" ht="16.5" thickBot="1">
      <c r="A79" s="56"/>
      <c r="B79" s="55"/>
      <c r="C79" s="883"/>
      <c r="D79" s="884"/>
      <c r="E79" s="3"/>
      <c r="F79" s="52"/>
      <c r="G79" s="52"/>
      <c r="H79" s="52"/>
      <c r="I79" s="53"/>
      <c r="J79" s="53"/>
      <c r="K79" s="53"/>
      <c r="L79" s="53"/>
      <c r="M79" s="20"/>
      <c r="N79" s="12"/>
      <c r="O79" s="12"/>
      <c r="P79" s="12"/>
    </row>
    <row r="80" spans="1:16" ht="16.5" customHeight="1" thickBot="1">
      <c r="A80" s="893" t="s">
        <v>49</v>
      </c>
      <c r="B80" s="3"/>
      <c r="C80" s="23"/>
      <c r="D80" s="23"/>
      <c r="E80" s="24"/>
      <c r="F80" s="25" t="s">
        <v>367</v>
      </c>
      <c r="G80" s="26"/>
      <c r="H80" s="26"/>
      <c r="I80" s="27"/>
      <c r="J80" s="27"/>
      <c r="K80" s="50"/>
      <c r="L80" s="3"/>
    </row>
    <row r="81" spans="1:13" ht="21" customHeight="1" thickBot="1">
      <c r="A81" s="894"/>
      <c r="B81" s="3"/>
      <c r="C81" s="23"/>
      <c r="D81" s="23"/>
      <c r="E81" s="3"/>
      <c r="F81" s="3"/>
      <c r="G81" s="262" t="str">
        <f>IF(AND(C86&lt;180,C86&gt;=0.1),"Zayıf Zemin",IF(AND(C86&gt;180,C86&lt;=360),"Sert/Sıkı ",IF(AND(C86&gt;360,C86&lt;=760),"ÇokSıkı Sert Zemin/ Y. Kaya",IF(AND(C86&gt;760,C86&lt;=1500),"Kaya",IF(C86=0,"",IF(C86&gt;1500,"Sert Kaya"))))))</f>
        <v/>
      </c>
      <c r="H81" s="265"/>
      <c r="I81" s="265"/>
      <c r="J81" s="265"/>
      <c r="K81" s="870" t="s">
        <v>129</v>
      </c>
      <c r="L81" s="3"/>
      <c r="M81" s="3"/>
    </row>
    <row r="82" spans="1:13" ht="21" thickBot="1">
      <c r="A82" s="889" t="s">
        <v>419</v>
      </c>
      <c r="B82" s="890"/>
      <c r="C82" s="890"/>
      <c r="D82" s="890"/>
      <c r="E82" s="865"/>
      <c r="F82" s="866"/>
      <c r="G82" s="263"/>
      <c r="H82" s="867" t="str">
        <f>IF(AND(D86&lt;180,D86&gt;=0.1),"Zayıf",IF(AND(D86&gt;180,D86&lt;=360),"Sert/Sıkı ",IF(AND(D86&gt;360,D86&lt;=760),"ÇokSıkı Sert Zemin/ Y. Kaya",IF(AND(D86&gt;760,D86&lt;=1500),"Kaya",IF(D86=0,"",IF(D86&gt;1500,"Sert Kaya"))))))</f>
        <v/>
      </c>
      <c r="I82" s="867"/>
      <c r="J82" s="867"/>
      <c r="K82" s="871"/>
      <c r="L82" s="3"/>
      <c r="M82" s="3"/>
    </row>
    <row r="83" spans="1:13" ht="16.5" customHeight="1" thickBot="1">
      <c r="A83" s="891" t="s">
        <v>0</v>
      </c>
      <c r="B83" s="887" t="s">
        <v>1</v>
      </c>
      <c r="C83" s="28" t="s">
        <v>52</v>
      </c>
      <c r="D83" s="242" t="s">
        <v>53</v>
      </c>
      <c r="E83" s="866"/>
      <c r="F83" s="866"/>
      <c r="G83" s="263"/>
      <c r="H83" s="91"/>
      <c r="I83" s="868" t="s">
        <v>2</v>
      </c>
      <c r="J83" s="869"/>
      <c r="K83" s="868" t="s">
        <v>3</v>
      </c>
      <c r="L83" s="869"/>
      <c r="M83" s="3"/>
    </row>
    <row r="84" spans="1:13" ht="16.5" thickBot="1">
      <c r="A84" s="892"/>
      <c r="B84" s="888"/>
      <c r="C84" s="261" t="str">
        <f>G86</f>
        <v/>
      </c>
      <c r="D84" s="260" t="str">
        <f>H86</f>
        <v/>
      </c>
      <c r="E84" s="885" t="s">
        <v>457</v>
      </c>
      <c r="F84" s="886"/>
      <c r="G84" s="263"/>
      <c r="H84" s="91"/>
      <c r="I84" s="840" t="s">
        <v>22</v>
      </c>
      <c r="J84" s="841"/>
      <c r="K84" s="841"/>
      <c r="L84" s="841"/>
      <c r="M84" s="282" t="s">
        <v>475</v>
      </c>
    </row>
    <row r="85" spans="1:13" ht="16.5" thickBot="1">
      <c r="A85" s="29" t="s">
        <v>4</v>
      </c>
      <c r="B85" s="30" t="s">
        <v>5</v>
      </c>
      <c r="C85" s="90"/>
      <c r="D85" s="90"/>
      <c r="E85" s="17"/>
      <c r="F85" s="3"/>
      <c r="G85" s="263"/>
      <c r="H85" s="91"/>
      <c r="I85" s="836" t="str">
        <f>IF(AND(C85&gt;1,C85&lt;=600),"Çok kolay",IF(AND(C85&gt;1500,C85&lt;=2100),"Zor",IF(AND(C85&gt;600,C85&lt;=900),"Kolay",IF(AND(C85&gt;900,C85&lt;=1500),"Orta",IF(AND(C85&gt;2100,C85&lt;=2400),"Çok Zor",IF(C85=0," ",IF(C85&gt;2400,"Son Derece Zor")))))))</f>
        <v xml:space="preserve"> </v>
      </c>
      <c r="J85" s="837"/>
      <c r="K85" s="836" t="str">
        <f>IF(AND(D85&gt;1,D85&lt;=600),"Çok kolay",IF(AND(D85&gt;1500,D85&lt;=2100),"Zor",IF(AND(D85&gt;600,D85&lt;=900),"Kolay",IF(AND(D85&gt;900,D85&lt;=1500),"Orta",IF(AND(D85&gt;2100,D85&lt;=2400),"Çok Zor",IF(D85=0,"",IF(D85&gt;2400,"Son Derece Zor")))))))</f>
        <v/>
      </c>
      <c r="L85" s="837"/>
      <c r="M85" s="3"/>
    </row>
    <row r="86" spans="1:13" ht="16.5" thickBot="1">
      <c r="A86" s="31" t="s">
        <v>6</v>
      </c>
      <c r="B86" s="32" t="s">
        <v>7</v>
      </c>
      <c r="C86" s="90"/>
      <c r="D86" s="90"/>
      <c r="E86" s="320"/>
      <c r="F86" s="321"/>
      <c r="G86" s="264" t="str">
        <f>IF(AND(C86&lt;=180,C86&gt;0.1),"E",IF(AND(C86&gt;180,C86&lt;=360),"D",IF(AND(C86&gt;360,C86&lt;=760),"C",IF(AND(C86&gt;760,C86&lt;=1500),"B",IF(C86=0,"",IF(C86&gt;1500,"A"))))))</f>
        <v/>
      </c>
      <c r="H86" s="259" t="str">
        <f>IF(AND(D86&lt;=180,D86&gt;0.1),"E",IF(AND(D86&gt;180,D86&lt;=360),"D",IF(AND(D86&gt;360,D86&lt;=760),"C",IF(AND(D86&gt;760,D86&lt;=1500),"B",IF(D86=0,"",IF(D86&gt;1500,"A"))))))</f>
        <v/>
      </c>
      <c r="I86" s="840" t="s">
        <v>23</v>
      </c>
      <c r="J86" s="841"/>
      <c r="K86" s="841"/>
      <c r="L86" s="841"/>
      <c r="M86" s="282" t="s">
        <v>474</v>
      </c>
    </row>
    <row r="87" spans="1:13" ht="16.5" thickBot="1">
      <c r="A87" s="31" t="s">
        <v>192</v>
      </c>
      <c r="B87" s="32" t="s">
        <v>193</v>
      </c>
      <c r="C87" s="830"/>
      <c r="D87" s="831"/>
      <c r="E87" s="19"/>
      <c r="F87" s="19"/>
      <c r="G87" s="3"/>
      <c r="H87" s="3"/>
      <c r="I87" s="836" t="str">
        <f>IF(AND(C88&gt;1.2,C88&lt;=1.4),"Düşük",IF(AND(C88&gt;1.4,C88&lt;=1.9),"Orta",IF(AND(C88&gt;1.9,C88&lt;=2.2),"Yüksek",IF(C88=0,"",IF(AND(C88&lt;1.2,C88&gt;0.1),"Çok Düşük",IF(C88&gt;2.2,"Çok Yüksek"))))))</f>
        <v/>
      </c>
      <c r="J87" s="843"/>
      <c r="K87" s="836" t="str">
        <f>IF(AND(D88&gt;1.2,D88&lt;=1.4),"Düşük",IF(AND(D88&gt;1.4,D88&lt;=1.9),"Orta",IF(AND(D88&gt;1.9,D88&lt;=2.2),"Yüksek",IF(D88=0,"",IF(AND(D88&lt;1.2,D88&gt;0.1),"Çok Düşük",IF(D88&gt;2.2,"Çok Yüksek"))))))</f>
        <v/>
      </c>
      <c r="L87" s="837"/>
      <c r="M87" s="3"/>
    </row>
    <row r="88" spans="1:13" ht="16.5" thickBot="1">
      <c r="A88" s="31" t="s">
        <v>8</v>
      </c>
      <c r="B88" s="32" t="s">
        <v>9</v>
      </c>
      <c r="C88" s="14">
        <f>ROUND(D246,2)</f>
        <v>0</v>
      </c>
      <c r="D88" s="14">
        <f>ROUND(E246,2)</f>
        <v>0</v>
      </c>
      <c r="E88" s="856"/>
      <c r="F88" s="857"/>
      <c r="G88" s="857"/>
      <c r="H88" s="3"/>
      <c r="I88" s="840" t="s">
        <v>24</v>
      </c>
      <c r="J88" s="841"/>
      <c r="K88" s="841"/>
      <c r="L88" s="842"/>
      <c r="M88" s="282" t="s">
        <v>476</v>
      </c>
    </row>
    <row r="89" spans="1:13" ht="16.5" thickBot="1">
      <c r="A89" s="31" t="s">
        <v>10</v>
      </c>
      <c r="B89" s="32" t="s">
        <v>11</v>
      </c>
      <c r="C89" s="14" t="e">
        <f>C85/C86</f>
        <v>#DIV/0!</v>
      </c>
      <c r="D89" s="14" t="e">
        <f>D85/D86</f>
        <v>#DIV/0!</v>
      </c>
      <c r="E89" s="49"/>
      <c r="F89" s="49"/>
      <c r="G89" s="3"/>
      <c r="H89" s="3"/>
      <c r="I89" s="836" t="str">
        <f>IF(ISERROR(IF(AND(C89&gt;1.5,C89&lt;=1.71),"Katı",IF(AND(C89&gt;1.71,C89&lt;=1.87),"Sıkı-Katı",IF(AND(C89&gt;1.87,C89&lt;=2.49),"Gevşek",IF(AND(C89&gt;2.49,C89&lt;=3),"Çok Gevşek",IF(C89&lt;=1.5,"Sağlam Kaya",IF(C89&gt;3,"Cıvık-Sıvı"))))))),"",IF(AND(C89&gt;1.5,C89&lt;=1.71),"Katı",IF(AND(C89&gt;1.71,C89&lt;=1.87),"Sıkı-Katı",IF(AND(C89&gt;1.87,C89&lt;=2.49),"Gevşek",IF(AND(C89&gt;2.49,C89&lt;=3),"Çok Gevşek",IF(C89&lt;=1.5,"Sağlam Kaya",IF(C89&gt;3,"Cıvık-Sıvı")))))))</f>
        <v/>
      </c>
      <c r="J89" s="843"/>
      <c r="K89" s="836" t="str">
        <f>IF(ISERROR(IF(AND(D89&gt;1.5,D89&lt;=1.71),"Katı",IF(AND(D89&gt;1.71,D89&lt;=1.87),"Sıkı-Katı",IF(AND(D89&gt;1.87,D89&lt;=2.49),"Gevşek",IF(AND(D89&gt;2.49,D89&lt;=3),"Çok Gevşek",IF(D89&lt;=1.5,"Sağlam Kaya",IF(D89&gt;3,"Cıvık-Sıvı"))))))),"",IF(AND(D89&gt;1.5,D89&lt;=1.71),"Katı",IF(AND(D89&gt;1.71,D89&lt;=1.87),"Sıkı-Katı",IF(AND(D89&gt;1.87,D89&lt;=2.49),"Gevşek",IF(AND(D89&gt;2.49,D89&lt;=3),"Çok Gevşek",IF(D89&lt;=1.5,"Sağlam Kaya",IF(D89&gt;3,"Cıvık-Sıvı")))))))</f>
        <v/>
      </c>
      <c r="L89" s="837"/>
      <c r="M89" s="3"/>
    </row>
    <row r="90" spans="1:13" ht="16.5" thickBot="1">
      <c r="A90" s="31" t="s">
        <v>12</v>
      </c>
      <c r="B90" s="32" t="s">
        <v>13</v>
      </c>
      <c r="C90" s="14" t="e">
        <f>(C85^2-2*C86^2)/(2*C85^2-2*C86^2)</f>
        <v>#DIV/0!</v>
      </c>
      <c r="D90" s="14" t="e">
        <f>(D85^2-2*D86^2)/(2*D85^2-2*D86^2)</f>
        <v>#DIV/0!</v>
      </c>
      <c r="G90" s="3"/>
      <c r="H90" s="3"/>
      <c r="I90" s="840" t="s">
        <v>25</v>
      </c>
      <c r="J90" s="841"/>
      <c r="K90" s="841"/>
      <c r="L90" s="842"/>
      <c r="M90" s="282" t="s">
        <v>474</v>
      </c>
    </row>
    <row r="91" spans="1:13" ht="16.5" thickBot="1">
      <c r="A91" s="31" t="s">
        <v>14</v>
      </c>
      <c r="B91" s="32" t="s">
        <v>15</v>
      </c>
      <c r="C91" s="13">
        <f>C88*(C86^2)/100</f>
        <v>0</v>
      </c>
      <c r="D91" s="13">
        <f>D88*(D86^2)/100</f>
        <v>0</v>
      </c>
      <c r="E91" s="49"/>
      <c r="F91" s="49"/>
      <c r="G91" s="3"/>
      <c r="H91" s="3"/>
      <c r="I91" s="836" t="e">
        <f>IF(AND(C90&gt;=0.1,C90&lt;0.2),"Katı",IF(AND(C90&gt;=0.2,C90&lt;0.3),"Sıkı-Katı",IF(AND(C90&gt;=0.3,C90&lt;0.4),"Gevşek",IF(AND(C90&gt;=0.4,C90&lt;0.5),"Çok Gevşek",IF(C90&lt;0.1,"Sağlam Kaya",IF(C90&gt;=0.5,"Cıvık-Sıvı"))))))</f>
        <v>#DIV/0!</v>
      </c>
      <c r="J91" s="843"/>
      <c r="K91" s="836" t="e">
        <f>IF(AND(D90&gt;=0.1,D90&lt;0.2),"Katı",IF(AND(D90&gt;=0.2,D90&lt;0.3),"Sıkı-Katı",IF(AND(D90&gt;=0.3,D90&lt;0.4),"Gevşek",IF(AND(D90&gt;=0.4,D90&lt;0.5),"Çok Gevşek",IF(D90&lt;0.1,"Sağlam Kaya",IF(D90&gt;=0.5,"Cıvık-Sıvı"))))))</f>
        <v>#DIV/0!</v>
      </c>
      <c r="L91" s="843"/>
      <c r="M91" s="3"/>
    </row>
    <row r="92" spans="1:13" ht="16.5" thickBot="1">
      <c r="A92" s="31" t="s">
        <v>16</v>
      </c>
      <c r="B92" s="32" t="s">
        <v>17</v>
      </c>
      <c r="C92" s="15" t="e">
        <f>C91*(((3*C85^2)-(4*(C86^2)))/(C85^2-C86^2))</f>
        <v>#DIV/0!</v>
      </c>
      <c r="D92" s="15" t="e">
        <f>D91*(((3*D85^2)-(4*(D86^2)))/(D85^2-D86^2))</f>
        <v>#DIV/0!</v>
      </c>
      <c r="E92" s="3"/>
      <c r="F92" s="3"/>
      <c r="G92" s="3"/>
      <c r="H92" s="3"/>
      <c r="I92" s="840" t="s">
        <v>26</v>
      </c>
      <c r="J92" s="841"/>
      <c r="K92" s="841"/>
      <c r="L92" s="842"/>
      <c r="M92" s="282" t="s">
        <v>474</v>
      </c>
    </row>
    <row r="93" spans="1:13" ht="16.5" thickBot="1">
      <c r="A93" s="31" t="s">
        <v>229</v>
      </c>
      <c r="B93" s="32" t="s">
        <v>18</v>
      </c>
      <c r="C93" s="16">
        <f>(C88*(C85^2-(4/3*C86^2)))/100</f>
        <v>0</v>
      </c>
      <c r="D93" s="16">
        <f>(D88*(D85^2-(4/3*D86^2)))/100</f>
        <v>0</v>
      </c>
      <c r="E93" s="19"/>
      <c r="F93" s="19"/>
      <c r="G93" s="3"/>
      <c r="H93" s="3"/>
      <c r="I93" s="836" t="str">
        <f>IF(AND(C91&gt;0,C91&lt;=400),"Çok Zayıf",IF(AND(C91&gt;400,C91&lt;=1500),"Zayıf",IF(AND(C91&gt;1500,C91&lt;=3000),"Orta",IF(AND(C91&gt;3000,C91&lt;=10000),"Sağlam",IF(C91=0," ",IF(C91&gt;10000,"Çok Sağlam"))))))</f>
        <v xml:space="preserve"> </v>
      </c>
      <c r="J93" s="843"/>
      <c r="K93" s="836" t="str">
        <f>IF(AND(D91&gt;0,D91&lt;=400),"Çok Zayıf",IF(AND(D91&gt;400,D91&lt;=1500),"Zayıf",IF(AND(D91&gt;1500,D91&lt;=3000),"Orta",IF(AND(D91&gt;3000,D91&lt;=10000),"Sağlam",IF(D91=0," ",IF(D91&gt;10000,"Çok Sağlam"))))))</f>
        <v xml:space="preserve"> </v>
      </c>
      <c r="L93" s="837"/>
      <c r="M93" s="3"/>
    </row>
    <row r="94" spans="1:13" ht="16.5" thickBot="1">
      <c r="A94" s="31" t="s">
        <v>19</v>
      </c>
      <c r="B94" s="32" t="s">
        <v>20</v>
      </c>
      <c r="C94" s="838" t="e">
        <f>4*((C87/C86)+((50-C87)/D86))</f>
        <v>#DIV/0!</v>
      </c>
      <c r="D94" s="839"/>
      <c r="G94" s="3"/>
      <c r="H94" s="3"/>
      <c r="I94" s="840" t="s">
        <v>27</v>
      </c>
      <c r="J94" s="841"/>
      <c r="K94" s="841"/>
      <c r="L94" s="842"/>
      <c r="M94" s="282" t="s">
        <v>474</v>
      </c>
    </row>
    <row r="95" spans="1:13" ht="16.5" thickBot="1">
      <c r="A95" s="31" t="s">
        <v>21</v>
      </c>
      <c r="B95" s="32" t="s">
        <v>742</v>
      </c>
      <c r="C95" s="14">
        <f>(C88*C86)/100</f>
        <v>0</v>
      </c>
      <c r="D95" s="14">
        <f>(D88*D86)/100</f>
        <v>0</v>
      </c>
      <c r="E95" s="49"/>
      <c r="F95" s="49"/>
      <c r="G95" s="3"/>
      <c r="H95" s="3"/>
      <c r="I95" s="836" t="str">
        <f>IF(ISERROR( IF(AND(C92&gt;1000,C92&lt;=5000),"Zayıf",IF(AND(C92&gt;5000,C92&lt;=10000),"Orta",IF(AND(C92&gt;10000,C92&lt;=30000),"Sağlam",IF(C92&lt;=1000,"Çok Zayıf",IF(C92&gt;30000,"Çok Sağlam")))))),"", IF(AND(C92&gt;1000,C92&lt;=5000),"Zayıf",IF(AND(C92&gt;5000,C92&lt;=10000),"Orta",IF(AND(C92&gt;10000,C92&lt;=30000),"Sağlam",IF(C92&lt;=1000,"Çok Zayıf",IF(C92&gt;30000,"Çok Sağlam"))))))</f>
        <v/>
      </c>
      <c r="J95" s="843"/>
      <c r="K95" s="836" t="str">
        <f>IF(ISERROR( IF(AND(D92&gt;1000,D92&lt;5000),"Zayıf",IF(AND(D92&gt;5001,D92&lt;10000),"Orta",IF(AND(D92&gt;10001,D92&lt;30000),"Sağlam",IF(D92&lt;1000,"Çok Zayıf",IF(D92&gt;30000,"Çok Sağlam")))))),"", IF(AND(D92&gt;1000,D92&lt;5000),"Zayıf",IF(AND(D92&gt;5001,D92&lt;10000),"Orta",IF(AND(D92&gt;10001,D92&lt;30000),"Sağlam",IF(D92&lt;1000,"Çok Zayıf",IF(D92&gt;30000,"Çok Sağlam"))))))</f>
        <v/>
      </c>
      <c r="L95" s="837"/>
      <c r="M95" s="3"/>
    </row>
    <row r="96" spans="1:13" ht="16.5" thickBot="1">
      <c r="A96" s="31" t="s">
        <v>743</v>
      </c>
      <c r="B96" s="32" t="s">
        <v>744</v>
      </c>
      <c r="C96" s="14" t="e">
        <f>((C88*C86^2)/C85)/100</f>
        <v>#DIV/0!</v>
      </c>
      <c r="D96" s="14" t="e">
        <f>((D88*D86^2)/D85)/100</f>
        <v>#DIV/0!</v>
      </c>
      <c r="E96" s="22"/>
      <c r="F96" s="49"/>
      <c r="G96" s="49"/>
      <c r="H96" s="3"/>
      <c r="I96" s="840" t="s">
        <v>28</v>
      </c>
      <c r="J96" s="841"/>
      <c r="K96" s="841"/>
      <c r="L96" s="842"/>
      <c r="M96" s="282" t="s">
        <v>474</v>
      </c>
    </row>
    <row r="97" spans="1:13" ht="16.5" thickBot="1">
      <c r="A97" s="31" t="s">
        <v>128</v>
      </c>
      <c r="B97" s="32" t="s">
        <v>132</v>
      </c>
      <c r="C97" s="14" t="e">
        <f>(C95/C92)*C87*100</f>
        <v>#DIV/0!</v>
      </c>
      <c r="D97" s="14" t="e">
        <f>(D95/D92)*C87*100</f>
        <v>#DIV/0!</v>
      </c>
      <c r="E97" s="3"/>
      <c r="F97" s="3"/>
      <c r="G97" s="3"/>
      <c r="H97" s="3"/>
      <c r="I97" s="836" t="str">
        <f>IF(AND(C93&gt;400,C93&lt;10000),"Az",IF(AND(C93&gt;10001,C93&lt;40000),"Orta",IF(AND(C93&gt;40001,C93&lt;100000),"Yüksek",IF(AND(C93&lt;400,C93&gt;1),"Çok Az",IF(C93&gt;100000,"Çok Yüksek",IF(C93=0,""))))))</f>
        <v/>
      </c>
      <c r="J97" s="843"/>
      <c r="K97" s="836" t="str">
        <f>IF(AND(D93&gt;400,D93&lt;10000),"Az",IF(AND(D93&gt;10001,D93&lt;40000),"Orta",IF(AND(D93&gt;40001,D93&lt;100000),"Yüksek",IF(AND(D93&lt;400,D93&gt;1),"Çok Az",IF(D93&gt;100000,"Çok Yüksek",IF(D93=0,""))))))</f>
        <v/>
      </c>
      <c r="L97" s="837"/>
      <c r="M97" s="3"/>
    </row>
    <row r="98" spans="1:13" ht="16.5" thickBot="1">
      <c r="A98" s="34" t="s">
        <v>103</v>
      </c>
      <c r="B98" s="35" t="s">
        <v>186</v>
      </c>
      <c r="C98" s="37">
        <f>40*(C95*9.81)</f>
        <v>0</v>
      </c>
      <c r="D98" s="37">
        <f>40*(D95*9.81)</f>
        <v>0</v>
      </c>
      <c r="E98" s="3"/>
      <c r="F98" s="3"/>
      <c r="G98" s="3"/>
      <c r="H98" s="3"/>
      <c r="I98" s="844" t="s">
        <v>29</v>
      </c>
      <c r="J98" s="845"/>
      <c r="K98" s="845"/>
      <c r="L98" s="846"/>
      <c r="M98" s="282" t="s">
        <v>473</v>
      </c>
    </row>
    <row r="99" spans="1:13" ht="16.5" thickBot="1">
      <c r="A99" s="34" t="s">
        <v>104</v>
      </c>
      <c r="B99" s="35" t="s">
        <v>106</v>
      </c>
      <c r="C99" s="38" t="e">
        <f>C94*0.67</f>
        <v>#DIV/0!</v>
      </c>
      <c r="D99" s="38" t="e">
        <f>C94*1.5</f>
        <v>#DIV/0!</v>
      </c>
      <c r="E99" s="3"/>
      <c r="F99" s="3"/>
      <c r="G99" s="3"/>
      <c r="H99" s="3"/>
      <c r="I99" s="836" t="str">
        <f>IF(ISERROR( IF(AND(C94&gt;0.3,C94&lt;=0.5),"B - Orta Tehlike",IF(AND(C94&gt;0.5,C94&lt;=0.7),"C - Yüksek Tehlike",IF(C94&lt;=0.3,"A - Düşük Tehlike",IF(C94&gt;0.7,"D - Çok Yüksek Tehlike"))))),"", IF(AND(C94&gt;0.3,C94&lt;=0.5),"B - Orta Tehlike",IF(AND(C94&gt;0.5,C94&lt;=0.7),"C - Yüksek Tehlike",IF(C94&lt;=0.3,"A - Düşük Tehlike",IF(C94&gt;0.7,"D - Çok Yüksek Tehlike")))))</f>
        <v/>
      </c>
      <c r="J99" s="843"/>
      <c r="K99" s="843"/>
      <c r="L99" s="837"/>
      <c r="M99" s="3"/>
    </row>
    <row r="100" spans="1:13" ht="16.5" thickBot="1">
      <c r="A100" s="34" t="s">
        <v>105</v>
      </c>
      <c r="B100" s="36"/>
      <c r="C100" s="38" t="e">
        <f>-0.175*LN(C85)+1.56</f>
        <v>#NUM!</v>
      </c>
      <c r="D100" s="38" t="e">
        <f>-0.175*LN(D85)+1.56</f>
        <v>#NUM!</v>
      </c>
      <c r="E100" s="3"/>
      <c r="F100" s="3"/>
      <c r="G100" s="3"/>
      <c r="H100" s="3"/>
      <c r="I100" s="847" t="s">
        <v>30</v>
      </c>
      <c r="J100" s="848"/>
      <c r="K100" s="848"/>
      <c r="L100" s="849"/>
      <c r="M100" s="282" t="s">
        <v>472</v>
      </c>
    </row>
    <row r="101" spans="1:13" ht="16.5" thickBot="1">
      <c r="A101" s="34" t="s">
        <v>448</v>
      </c>
      <c r="B101" s="39" t="s">
        <v>479</v>
      </c>
      <c r="C101" s="858" t="e">
        <f>700/C104</f>
        <v>#DIV/0!</v>
      </c>
      <c r="D101" s="859"/>
      <c r="E101" s="3"/>
      <c r="F101" s="853" t="s">
        <v>107</v>
      </c>
      <c r="G101" s="854"/>
      <c r="H101" s="855"/>
      <c r="I101" s="836" t="str">
        <f>IF(ISERROR(IF(AND(C101&gt;2.5,C101&lt;=4),"B - Orta Tehlike",IF(AND(C101&gt;4,C101&lt;=6.5),"C - Yüksek Tehlike",IF(C101&lt;=2.5,"A - Düşük Tehlike",IF(C101&gt;6.5,"D - Çok Yüksek Tehlike"))))),"",IF(AND(C101&gt;2.5,C101&lt;=4),"B - Orta Tehlike",IF(AND(C101&gt;4,C101&lt;=6.5),"C - Yüksek Tehlike",IF(C101&lt;=2.5,"A - Düşük Tehlike",IF(C101&gt;6.5,"D - Çok Yüksek Tehlike")))))</f>
        <v/>
      </c>
      <c r="J101" s="843"/>
      <c r="K101" s="843"/>
      <c r="L101" s="837"/>
      <c r="M101" s="3"/>
    </row>
    <row r="102" spans="1:13" ht="21" customHeight="1" thickBot="1">
      <c r="A102" s="34" t="s">
        <v>449</v>
      </c>
      <c r="B102" s="39" t="s">
        <v>479</v>
      </c>
      <c r="C102" s="858" t="e">
        <f>600/C104</f>
        <v>#DIV/0!</v>
      </c>
      <c r="D102" s="859"/>
      <c r="E102" s="3"/>
      <c r="F102" s="850" t="s">
        <v>108</v>
      </c>
      <c r="G102" s="851"/>
      <c r="H102" s="852"/>
      <c r="I102" s="836" t="str">
        <f>IF(ISERROR(IF(AND(C102&gt;2.5,C102&lt;=4),"B - Orta Tehlike",IF(AND(C102&gt;4,C102&lt;=6.5),"C - Yüksek Tehlike",IF(C102&lt;=2.5,"A - Düşük Tehlike",IF(C102&gt;6.5,"D - Çok Yüksek Tehlike"))))),"",IF(AND(C102&gt;2.5,C102&lt;=4),"B - Orta Tehlike",IF(AND(C102&gt;4,C102&lt;=6.5),"C - Yüksek Tehlike",IF(C102&lt;=2.5,"A - Düşük Tehlike",IF(C102&gt;6.5,"D - Çok Yüksek Tehlike")))))</f>
        <v/>
      </c>
      <c r="J102" s="843"/>
      <c r="K102" s="843"/>
      <c r="L102" s="837"/>
      <c r="M102" s="3"/>
    </row>
    <row r="103" spans="1:13" ht="15.75" customHeight="1">
      <c r="A103" s="34" t="s">
        <v>130</v>
      </c>
      <c r="B103" s="42" t="s">
        <v>131</v>
      </c>
      <c r="C103" s="38" t="e">
        <f>(3/4*(C92/1000)*(C95/0.333))</f>
        <v>#DIV/0!</v>
      </c>
      <c r="D103" s="38" t="e">
        <f>(3/4*(D92/1000)*(D95/0.333))</f>
        <v>#DIV/0!</v>
      </c>
      <c r="M103" s="3"/>
    </row>
    <row r="104" spans="1:13" ht="15.75">
      <c r="A104" s="58" t="s">
        <v>447</v>
      </c>
      <c r="B104" s="35" t="s">
        <v>191</v>
      </c>
      <c r="C104" s="834">
        <f>IF(I206=3,C105,IF(I206=2,D216,""))</f>
        <v>0</v>
      </c>
      <c r="D104" s="835"/>
      <c r="M104" s="3"/>
    </row>
    <row r="105" spans="1:13" ht="16.5" customHeight="1" thickBot="1">
      <c r="C105" s="832"/>
      <c r="D105" s="833"/>
    </row>
    <row r="106" spans="1:13" ht="15.75" customHeight="1" thickBot="1">
      <c r="A106" s="893" t="s">
        <v>50</v>
      </c>
      <c r="B106" s="3"/>
      <c r="C106" s="23"/>
      <c r="D106" s="23"/>
      <c r="E106" s="24"/>
      <c r="F106" s="25" t="s">
        <v>367</v>
      </c>
      <c r="G106" s="26"/>
      <c r="H106" s="26"/>
      <c r="I106" s="27"/>
      <c r="J106" s="27"/>
      <c r="K106" s="50"/>
      <c r="L106" s="3"/>
    </row>
    <row r="107" spans="1:13" ht="21" customHeight="1" thickBot="1">
      <c r="A107" s="894"/>
      <c r="B107" s="3"/>
      <c r="C107" s="23"/>
      <c r="D107" s="23"/>
      <c r="E107" s="3"/>
      <c r="F107" s="3"/>
      <c r="G107" s="262" t="str">
        <f>IF(AND(C112&lt;180,C112&gt;=0.1),"Zayıf Zemin",IF(AND(C112&gt;180,C112&lt;=360),"Sert/Sıkı ",IF(AND(C112&gt;360,C112&lt;=760),"ÇokSıkı Sert Zemin/ Y. Kaya",IF(AND(C112&gt;760,C112&lt;=1500),"Kaya",IF(C112=0,"",IF(C112&gt;1500,"Sert Kaya"))))))</f>
        <v/>
      </c>
      <c r="H107" s="265"/>
      <c r="I107" s="265"/>
      <c r="J107" s="265"/>
      <c r="K107" s="870" t="s">
        <v>129</v>
      </c>
      <c r="L107" s="3"/>
      <c r="M107" s="3"/>
    </row>
    <row r="108" spans="1:13" ht="21" thickBot="1">
      <c r="A108" s="889" t="s">
        <v>419</v>
      </c>
      <c r="B108" s="890"/>
      <c r="C108" s="890"/>
      <c r="D108" s="890"/>
      <c r="E108" s="865"/>
      <c r="F108" s="866"/>
      <c r="G108" s="263"/>
      <c r="H108" s="867" t="str">
        <f>IF(AND(D112&lt;180,D112&gt;=0.1),"Zayıf",IF(AND(D112&gt;180,D112&lt;=360),"Sert/Sıkı ",IF(AND(D112&gt;360,D112&lt;=760),"ÇokSıkı Sert Zemin/ Y. Kaya",IF(AND(D112&gt;760,D112&lt;=1500),"Kaya",IF(D112=0,"",IF(D112&gt;1500,"Sert Kaya"))))))</f>
        <v/>
      </c>
      <c r="I108" s="867"/>
      <c r="J108" s="867"/>
      <c r="K108" s="871"/>
      <c r="L108" s="3"/>
      <c r="M108" s="3"/>
    </row>
    <row r="109" spans="1:13" ht="16.5" customHeight="1" thickBot="1">
      <c r="A109" s="891" t="s">
        <v>0</v>
      </c>
      <c r="B109" s="887" t="s">
        <v>1</v>
      </c>
      <c r="C109" s="28" t="s">
        <v>52</v>
      </c>
      <c r="D109" s="242" t="s">
        <v>53</v>
      </c>
      <c r="E109" s="866"/>
      <c r="F109" s="866"/>
      <c r="G109" s="263"/>
      <c r="H109" s="91"/>
      <c r="I109" s="868" t="s">
        <v>2</v>
      </c>
      <c r="J109" s="869"/>
      <c r="K109" s="868" t="s">
        <v>3</v>
      </c>
      <c r="L109" s="869"/>
      <c r="M109" s="3"/>
    </row>
    <row r="110" spans="1:13" ht="16.5" thickBot="1">
      <c r="A110" s="892"/>
      <c r="B110" s="888"/>
      <c r="C110" s="261" t="str">
        <f>G112</f>
        <v/>
      </c>
      <c r="D110" s="260" t="str">
        <f>H112</f>
        <v/>
      </c>
      <c r="E110" s="885" t="s">
        <v>457</v>
      </c>
      <c r="F110" s="886"/>
      <c r="G110" s="263"/>
      <c r="H110" s="91"/>
      <c r="I110" s="840" t="s">
        <v>22</v>
      </c>
      <c r="J110" s="841"/>
      <c r="K110" s="841"/>
      <c r="L110" s="841"/>
      <c r="M110" s="282" t="s">
        <v>475</v>
      </c>
    </row>
    <row r="111" spans="1:13" ht="16.5" thickBot="1">
      <c r="A111" s="29" t="s">
        <v>4</v>
      </c>
      <c r="B111" s="30" t="s">
        <v>5</v>
      </c>
      <c r="C111" s="90"/>
      <c r="D111" s="90"/>
      <c r="E111" s="3"/>
      <c r="F111" s="3"/>
      <c r="G111" s="263"/>
      <c r="H111" s="91"/>
      <c r="I111" s="836" t="str">
        <f>IF(AND(C111&gt;1,C111&lt;=600),"Çok kolay",IF(AND(C111&gt;1500,C111&lt;=2100),"Zor",IF(AND(C111&gt;600,C111&lt;=900),"Kolay",IF(AND(C111&gt;900,C111&lt;=1500),"Orta",IF(AND(C111&gt;2100,C111&lt;=2400),"Çok Zor",IF(C111=0," ",IF(C111&gt;2400,"Son Derece Zor")))))))</f>
        <v xml:space="preserve"> </v>
      </c>
      <c r="J111" s="837"/>
      <c r="K111" s="836" t="str">
        <f>IF(AND(D111&gt;1,D111&lt;=600),"Çok kolay",IF(AND(D111&gt;1500,D111&lt;=2100),"Zor",IF(AND(D111&gt;600,D111&lt;=900),"Kolay",IF(AND(D111&gt;900,D111&lt;=1500),"Orta",IF(AND(D111&gt;2100,D111&lt;=2400),"Çok Zor",IF(D111=0,"",IF(D111&gt;2400,"Son Derece Zor")))))))</f>
        <v/>
      </c>
      <c r="L111" s="837"/>
      <c r="M111" s="3"/>
    </row>
    <row r="112" spans="1:13" ht="16.5" thickBot="1">
      <c r="A112" s="31" t="s">
        <v>6</v>
      </c>
      <c r="B112" s="32" t="s">
        <v>7</v>
      </c>
      <c r="C112" s="90"/>
      <c r="D112" s="90"/>
      <c r="E112" s="321"/>
      <c r="F112" s="321"/>
      <c r="G112" s="264" t="str">
        <f>IF(AND(C112&lt;=180,C112&gt;0.1),"E",IF(AND(C112&gt;180,C112&lt;=360),"D",IF(AND(C112&gt;360,C112&lt;=760),"C",IF(AND(C112&gt;760,C112&lt;=1500),"B",IF(C112=0,"",IF(C112&gt;1500,"A"))))))</f>
        <v/>
      </c>
      <c r="H112" s="259" t="str">
        <f>IF(AND(D112&lt;=180,D112&gt;0.1),"E",IF(AND(D112&gt;180,D112&lt;=360),"D",IF(AND(D112&gt;360,D112&lt;=760),"C",IF(AND(D112&gt;760,D112&lt;=1500),"B",IF(D112=0,"",IF(D112&gt;1500,"A"))))))</f>
        <v/>
      </c>
      <c r="I112" s="840" t="s">
        <v>23</v>
      </c>
      <c r="J112" s="841"/>
      <c r="K112" s="841"/>
      <c r="L112" s="841"/>
      <c r="M112" s="282" t="s">
        <v>474</v>
      </c>
    </row>
    <row r="113" spans="1:13" ht="16.5" thickBot="1">
      <c r="A113" s="31" t="s">
        <v>192</v>
      </c>
      <c r="B113" s="32" t="s">
        <v>193</v>
      </c>
      <c r="C113" s="830"/>
      <c r="D113" s="831"/>
      <c r="E113" s="19"/>
      <c r="F113" s="19"/>
      <c r="G113" s="3"/>
      <c r="H113" s="3"/>
      <c r="I113" s="836" t="str">
        <f>IF(AND(C114&gt;1.2,C114&lt;=1.4),"Düşük",IF(AND(C114&gt;1.4,C114&lt;=1.9),"Orta",IF(AND(C114&gt;1.9,C114&lt;=2.2),"Yüksek",IF(C114=0,"",IF(AND(C114&lt;1.2,C114&gt;0.1),"Çok Düşük",IF(C114&gt;2.2,"Çok Yüksek"))))))</f>
        <v/>
      </c>
      <c r="J113" s="843"/>
      <c r="K113" s="836" t="str">
        <f>IF(AND(D114&gt;1.2,D114&lt;=1.4),"Düşük",IF(AND(D114&gt;1.4,D114&lt;=1.9),"Orta",IF(AND(D114&gt;1.9,D114&lt;=2.2),"Yüksek",IF(D114=0,"",IF(AND(D114&lt;1.2,D114&gt;0.1),"Çok Düşük",IF(D114&gt;2.2,"Çok Yüksek"))))))</f>
        <v/>
      </c>
      <c r="L113" s="837"/>
      <c r="M113" s="3"/>
    </row>
    <row r="114" spans="1:13" ht="16.5" thickBot="1">
      <c r="A114" s="31" t="s">
        <v>8</v>
      </c>
      <c r="B114" s="32" t="s">
        <v>9</v>
      </c>
      <c r="C114" s="14">
        <f>ROUND(D249,2)</f>
        <v>0</v>
      </c>
      <c r="D114" s="14">
        <f>ROUND(E249,2)</f>
        <v>0</v>
      </c>
      <c r="E114" s="856"/>
      <c r="F114" s="857"/>
      <c r="G114" s="857"/>
      <c r="H114" s="3"/>
      <c r="I114" s="840" t="s">
        <v>24</v>
      </c>
      <c r="J114" s="841"/>
      <c r="K114" s="841"/>
      <c r="L114" s="842"/>
      <c r="M114" s="282" t="s">
        <v>476</v>
      </c>
    </row>
    <row r="115" spans="1:13" ht="16.5" thickBot="1">
      <c r="A115" s="31" t="s">
        <v>10</v>
      </c>
      <c r="B115" s="32" t="s">
        <v>11</v>
      </c>
      <c r="C115" s="14" t="e">
        <f>C111/C112</f>
        <v>#DIV/0!</v>
      </c>
      <c r="D115" s="14" t="e">
        <f>D111/D112</f>
        <v>#DIV/0!</v>
      </c>
      <c r="E115" s="49"/>
      <c r="F115" s="49"/>
      <c r="G115" s="3"/>
      <c r="H115" s="3"/>
      <c r="I115" s="836" t="str">
        <f>IF(ISERROR(IF(AND(C115&gt;1.5,C115&lt;=1.71),"Katı",IF(AND(C115&gt;1.71,C115&lt;=1.87),"Sıkı-Katı",IF(AND(C115&gt;1.87,C115&lt;=2.49),"Gevşek",IF(AND(C115&gt;2.49,C115&lt;=3),"Çok Gevşek",IF(C115&lt;=1.5,"Sağlam Kaya",IF(C115&gt;3,"Cıvık-Sıvı"))))))),"",IF(AND(C115&gt;1.5,C115&lt;=1.71),"Katı",IF(AND(C115&gt;1.71,C115&lt;=1.87),"Sıkı-Katı",IF(AND(C115&gt;1.87,C115&lt;=2.49),"Gevşek",IF(AND(C115&gt;2.49,C115&lt;=3),"Çok Gevşek",IF(C115&lt;=1.5,"Sağlam Kaya",IF(C115&gt;3,"Cıvık-Sıvı")))))))</f>
        <v/>
      </c>
      <c r="J115" s="843"/>
      <c r="K115" s="836" t="str">
        <f>IF(ISERROR(IF(AND(D115&gt;1.5,D115&lt;=1.71),"Katı",IF(AND(D115&gt;1.71,D115&lt;=1.87),"Sıkı-Katı",IF(AND(D115&gt;1.87,D115&lt;=2.49),"Gevşek",IF(AND(D115&gt;2.49,D115&lt;=3),"Çok Gevşek",IF(D115&lt;=1.5,"Sağlam Kaya",IF(D115&gt;3,"Cıvık-Sıvı"))))))),"",IF(AND(D115&gt;1.5,D115&lt;=1.71),"Katı",IF(AND(D115&gt;1.71,D115&lt;=1.87),"Sıkı-Katı",IF(AND(D115&gt;1.87,D115&lt;=2.49),"Gevşek",IF(AND(D115&gt;2.49,D115&lt;=3),"Çok Gevşek",IF(D115&lt;=1.5,"Sağlam Kaya",IF(D115&gt;3,"Cıvık-Sıvı")))))))</f>
        <v/>
      </c>
      <c r="L115" s="837"/>
      <c r="M115" s="3"/>
    </row>
    <row r="116" spans="1:13" ht="16.5" thickBot="1">
      <c r="A116" s="31" t="s">
        <v>12</v>
      </c>
      <c r="B116" s="32" t="s">
        <v>13</v>
      </c>
      <c r="C116" s="14" t="e">
        <f>(C111^2-2*C112^2)/(2*C111^2-2*C112^2)</f>
        <v>#DIV/0!</v>
      </c>
      <c r="D116" s="14" t="e">
        <f>(D111^2-2*D112^2)/(2*D111^2-2*D112^2)</f>
        <v>#DIV/0!</v>
      </c>
      <c r="G116" s="3"/>
      <c r="H116" s="3"/>
      <c r="I116" s="840" t="s">
        <v>25</v>
      </c>
      <c r="J116" s="841"/>
      <c r="K116" s="841"/>
      <c r="L116" s="842"/>
      <c r="M116" s="282" t="s">
        <v>474</v>
      </c>
    </row>
    <row r="117" spans="1:13" ht="16.5" thickBot="1">
      <c r="A117" s="31" t="s">
        <v>14</v>
      </c>
      <c r="B117" s="32" t="s">
        <v>15</v>
      </c>
      <c r="C117" s="13">
        <f>C114*(C112^2)/100</f>
        <v>0</v>
      </c>
      <c r="D117" s="13">
        <f>D114*(D112^2)/100</f>
        <v>0</v>
      </c>
      <c r="E117" s="49"/>
      <c r="F117" s="49"/>
      <c r="G117" s="3"/>
      <c r="H117" s="3"/>
      <c r="I117" s="836" t="e">
        <f>IF(AND(C116&gt;=0.1,C116&lt;0.2),"Katı",IF(AND(C116&gt;=0.2,C116&lt;0.3),"Sıkı-Katı",IF(AND(C116&gt;=0.3,C116&lt;0.4),"Gevşek",IF(AND(C116&gt;=0.4,C116&lt;0.5),"Çok Gevşek",IF(C116&lt;0.1,"Sağlam Kaya",IF(C116&gt;=0.5,"Cıvık-Sıvı"))))))</f>
        <v>#DIV/0!</v>
      </c>
      <c r="J117" s="843"/>
      <c r="K117" s="836" t="e">
        <f>IF(AND(D116&gt;=0.1,D116&lt;0.2),"Katı",IF(AND(D116&gt;=0.2,D116&lt;0.3),"Sıkı-Katı",IF(AND(D116&gt;=0.3,D116&lt;0.4),"Gevşek",IF(AND(D116&gt;=0.4,D116&lt;0.5),"Çok Gevşek",IF(D116&lt;0.1,"Sağlam Kaya",IF(D116&gt;=0.5,"Cıvık-Sıvı"))))))</f>
        <v>#DIV/0!</v>
      </c>
      <c r="L117" s="843"/>
      <c r="M117" s="3"/>
    </row>
    <row r="118" spans="1:13" ht="16.5" thickBot="1">
      <c r="A118" s="31" t="s">
        <v>16</v>
      </c>
      <c r="B118" s="32" t="s">
        <v>17</v>
      </c>
      <c r="C118" s="15" t="e">
        <f>C117*(((3*C111^2)-(4*(C112^2)))/(C111^2-C112^2))</f>
        <v>#DIV/0!</v>
      </c>
      <c r="D118" s="15" t="e">
        <f>D117*(((3*D111^2)-(4*(D112^2)))/(D111^2-D112^2))</f>
        <v>#DIV/0!</v>
      </c>
      <c r="E118" s="3"/>
      <c r="F118" s="3"/>
      <c r="G118" s="3"/>
      <c r="H118" s="3"/>
      <c r="I118" s="840" t="s">
        <v>26</v>
      </c>
      <c r="J118" s="841"/>
      <c r="K118" s="841"/>
      <c r="L118" s="842"/>
      <c r="M118" s="282" t="s">
        <v>474</v>
      </c>
    </row>
    <row r="119" spans="1:13" ht="16.5" thickBot="1">
      <c r="A119" s="31" t="s">
        <v>229</v>
      </c>
      <c r="B119" s="32" t="s">
        <v>18</v>
      </c>
      <c r="C119" s="16">
        <f>(C114*(C111^2-(4/3*C112^2)))/100</f>
        <v>0</v>
      </c>
      <c r="D119" s="16">
        <f>(D114*(D111^2-(4/3*D112^2)))/100</f>
        <v>0</v>
      </c>
      <c r="E119" s="19"/>
      <c r="F119" s="19"/>
      <c r="G119" s="3"/>
      <c r="H119" s="3"/>
      <c r="I119" s="836" t="str">
        <f>IF(AND(C117&gt;0,C117&lt;=400),"Çok Zayıf",IF(AND(C117&gt;400,C117&lt;=1500),"Zayıf",IF(AND(C117&gt;1500,C117&lt;=3000),"Orta",IF(AND(C117&gt;3000,C117&lt;=10000),"Sağlam",IF(C117=0," ",IF(C117&gt;10000,"Çok Sağlam"))))))</f>
        <v xml:space="preserve"> </v>
      </c>
      <c r="J119" s="837"/>
      <c r="K119" s="836" t="str">
        <f>IF(AND(D117&gt;0,D117&lt;=400),"Çok Zayıf",IF(AND(D117&gt;400,D117&lt;=1500),"Zayıf",IF(AND(D117&gt;1500,D117&lt;=3000),"Orta",IF(AND(D117&gt;3000,D117&lt;=10000),"Sağlam",IF(D117=0," ",IF(D117&gt;10000,"Çok Sağlam"))))))</f>
        <v xml:space="preserve"> </v>
      </c>
      <c r="L119" s="837"/>
      <c r="M119" s="3"/>
    </row>
    <row r="120" spans="1:13" ht="16.5" thickBot="1">
      <c r="A120" s="31" t="s">
        <v>19</v>
      </c>
      <c r="B120" s="32" t="s">
        <v>20</v>
      </c>
      <c r="C120" s="838" t="e">
        <f>4*((C113/C112)+((50-C113)/D112))</f>
        <v>#DIV/0!</v>
      </c>
      <c r="D120" s="839"/>
      <c r="G120" s="3"/>
      <c r="H120" s="3"/>
      <c r="I120" s="840" t="s">
        <v>27</v>
      </c>
      <c r="J120" s="841"/>
      <c r="K120" s="841"/>
      <c r="L120" s="842"/>
      <c r="M120" s="282" t="s">
        <v>474</v>
      </c>
    </row>
    <row r="121" spans="1:13" ht="16.5" thickBot="1">
      <c r="A121" s="31" t="s">
        <v>21</v>
      </c>
      <c r="B121" s="32" t="s">
        <v>742</v>
      </c>
      <c r="C121" s="14">
        <f>(C114*C112)/100</f>
        <v>0</v>
      </c>
      <c r="D121" s="14">
        <f>(D114*D112)/100</f>
        <v>0</v>
      </c>
      <c r="E121" s="49"/>
      <c r="F121" s="49"/>
      <c r="G121" s="3"/>
      <c r="H121" s="3"/>
      <c r="I121" s="836" t="str">
        <f>IF(ISERROR( IF(AND(C118&gt;1000,C118&lt;=5000),"Zayıf",IF(AND(C118&gt;5000,C118&lt;=10000),"Orta",IF(AND(C118&gt;10000,C118&lt;=30000),"Sağlam",IF(C118&lt;=1000,"Çok Zayıf",IF(C118&gt;30000,"Çok Sağlam")))))),"", IF(AND(C118&gt;1000,C118&lt;=5000),"Zayıf",IF(AND(C118&gt;5000,C118&lt;=10000),"Orta",IF(AND(C118&gt;10000,C118&lt;=30000),"Sağlam",IF(C118&lt;=1000,"Çok Zayıf",IF(C118&gt;30000,"Çok Sağlam"))))))</f>
        <v/>
      </c>
      <c r="J121" s="843"/>
      <c r="K121" s="836" t="str">
        <f>IF(ISERROR( IF(AND(D118&gt;1000,D118&lt;5000),"Zayıf",IF(AND(D118&gt;5001,D118&lt;10000),"Orta",IF(AND(D118&gt;10001,D118&lt;30000),"Sağlam",IF(D118&lt;1000,"Çok Zayıf",IF(D118&gt;30000,"Çok Sağlam")))))),"", IF(AND(D118&gt;1000,D118&lt;5000),"Zayıf",IF(AND(D118&gt;5001,D118&lt;10000),"Orta",IF(AND(D118&gt;10001,D118&lt;30000),"Sağlam",IF(D118&lt;1000,"Çok Zayıf",IF(D118&gt;30000,"Çok Sağlam"))))))</f>
        <v/>
      </c>
      <c r="L121" s="837"/>
      <c r="M121" s="3"/>
    </row>
    <row r="122" spans="1:13" ht="16.5" thickBot="1">
      <c r="A122" s="31" t="s">
        <v>743</v>
      </c>
      <c r="B122" s="32" t="s">
        <v>744</v>
      </c>
      <c r="C122" s="14" t="e">
        <f>((C114*C112^2)/C111)/100</f>
        <v>#DIV/0!</v>
      </c>
      <c r="D122" s="14" t="e">
        <f>((D114*D112^2)/D111)/100</f>
        <v>#DIV/0!</v>
      </c>
      <c r="E122" s="22"/>
      <c r="F122" s="49"/>
      <c r="G122" s="49"/>
      <c r="H122" s="3"/>
      <c r="I122" s="840" t="s">
        <v>28</v>
      </c>
      <c r="J122" s="841"/>
      <c r="K122" s="841"/>
      <c r="L122" s="842"/>
      <c r="M122" s="282" t="s">
        <v>474</v>
      </c>
    </row>
    <row r="123" spans="1:13" ht="16.5" thickBot="1">
      <c r="A123" s="31" t="s">
        <v>128</v>
      </c>
      <c r="B123" s="32" t="s">
        <v>132</v>
      </c>
      <c r="C123" s="14" t="e">
        <f>(C121/C118)*C113*100</f>
        <v>#DIV/0!</v>
      </c>
      <c r="D123" s="14" t="e">
        <f>(D121/D118)*C113*100</f>
        <v>#DIV/0!</v>
      </c>
      <c r="E123" s="3"/>
      <c r="F123" s="3"/>
      <c r="G123" s="3"/>
      <c r="H123" s="3"/>
      <c r="I123" s="836" t="str">
        <f>IF(AND(C119&gt;400,C119&lt;10000),"Az",IF(AND(C119&gt;10001,C119&lt;40000),"Orta",IF(AND(C119&gt;40001,C119&lt;100000),"Yüksek",IF(AND(C119&lt;400,C119&gt;1),"Çok Az",IF(C119&gt;100000,"Çok Yüksek",IF(C119=0,""))))))</f>
        <v/>
      </c>
      <c r="J123" s="843"/>
      <c r="K123" s="836" t="str">
        <f>IF(AND(D119&gt;400,D119&lt;10000),"Az",IF(AND(D119&gt;10001,D119&lt;40000),"Orta",IF(AND(D119&gt;40001,D119&lt;100000),"Yüksek",IF(AND(D119&lt;400,D119&gt;1),"Çok Az",IF(D119&gt;100000,"Çok Yüksek",IF(D119=0,""))))))</f>
        <v/>
      </c>
      <c r="L123" s="837"/>
      <c r="M123" s="3"/>
    </row>
    <row r="124" spans="1:13" ht="16.5" thickBot="1">
      <c r="A124" s="34" t="s">
        <v>103</v>
      </c>
      <c r="B124" s="35" t="s">
        <v>186</v>
      </c>
      <c r="C124" s="37">
        <f>40*(C121*9.81)</f>
        <v>0</v>
      </c>
      <c r="D124" s="37">
        <f>40*(D121*9.81)</f>
        <v>0</v>
      </c>
      <c r="E124" s="3"/>
      <c r="F124" s="3"/>
      <c r="G124" s="3"/>
      <c r="H124" s="3"/>
      <c r="I124" s="844" t="s">
        <v>29</v>
      </c>
      <c r="J124" s="845"/>
      <c r="K124" s="845"/>
      <c r="L124" s="846"/>
      <c r="M124" s="282" t="s">
        <v>473</v>
      </c>
    </row>
    <row r="125" spans="1:13" ht="16.5" thickBot="1">
      <c r="A125" s="34" t="s">
        <v>104</v>
      </c>
      <c r="B125" s="35" t="s">
        <v>106</v>
      </c>
      <c r="C125" s="38" t="e">
        <f>C120*0.67</f>
        <v>#DIV/0!</v>
      </c>
      <c r="D125" s="38" t="e">
        <f>C120*1.5</f>
        <v>#DIV/0!</v>
      </c>
      <c r="E125" s="3"/>
      <c r="F125" s="3"/>
      <c r="G125" s="3"/>
      <c r="H125" s="3"/>
      <c r="I125" s="836" t="str">
        <f>IF(ISERROR( IF(AND(C120&gt;0.3,C120&lt;=0.5),"B - Orta Tehlike",IF(AND(C120&gt;0.5,C120&lt;=0.7),"C - Yüksek Tehlike",IF(C120&lt;=0.3,"A - Düşük Tehlike",IF(C120&gt;0.7,"D - Çok Yüksek Tehlike"))))),"", IF(AND(C120&gt;0.3,C120&lt;=0.5),"B - Orta Tehlike",IF(AND(C120&gt;0.5,C120&lt;=0.7),"C - Yüksek Tehlike",IF(C120&lt;=0.3,"A - Düşük Tehlike",IF(C120&gt;0.7,"D - Çok Yüksek Tehlike")))))</f>
        <v/>
      </c>
      <c r="J125" s="843"/>
      <c r="K125" s="843"/>
      <c r="L125" s="837"/>
      <c r="M125" s="3"/>
    </row>
    <row r="126" spans="1:13" ht="16.5" thickBot="1">
      <c r="A126" s="34" t="s">
        <v>105</v>
      </c>
      <c r="B126" s="36"/>
      <c r="C126" s="38" t="e">
        <f>-0.175*LN(C111)+1.56</f>
        <v>#NUM!</v>
      </c>
      <c r="D126" s="38" t="e">
        <f>-0.175*LN(D111)+1.56</f>
        <v>#NUM!</v>
      </c>
      <c r="E126" s="3"/>
      <c r="F126" s="3"/>
      <c r="G126" s="3"/>
      <c r="H126" s="3"/>
      <c r="I126" s="847" t="s">
        <v>30</v>
      </c>
      <c r="J126" s="848"/>
      <c r="K126" s="848"/>
      <c r="L126" s="849"/>
      <c r="M126" s="282" t="s">
        <v>472</v>
      </c>
    </row>
    <row r="127" spans="1:13" ht="21" customHeight="1" thickBot="1">
      <c r="A127" s="34" t="s">
        <v>448</v>
      </c>
      <c r="B127" s="39" t="s">
        <v>479</v>
      </c>
      <c r="C127" s="858" t="e">
        <f>700/C130</f>
        <v>#DIV/0!</v>
      </c>
      <c r="D127" s="859"/>
      <c r="E127" s="3"/>
      <c r="F127" s="853" t="s">
        <v>107</v>
      </c>
      <c r="G127" s="854"/>
      <c r="H127" s="855"/>
      <c r="I127" s="836" t="str">
        <f>IF(ISERROR(IF(AND(C127&gt;2.5,C127&lt;=4),"B - Orta Tehlike",IF(AND(C127&gt;4,C127&lt;=6.5),"C - Yüksek Tehlike",IF(C127&lt;=2.5,"A - Düşük Tehlike",IF(C127&gt;6.5,"D - Çok Yüksek Tehlike"))))),"",IF(AND(C127&gt;2.5,C127&lt;=4),"B - Orta Tehlike",IF(AND(C127&gt;4,C127&lt;=6.5),"C - Yüksek Tehlike",IF(C127&lt;=2.5,"A - Düşük Tehlike",IF(C127&gt;6.5,"D - Çok Yüksek Tehlike")))))</f>
        <v/>
      </c>
      <c r="J127" s="843"/>
      <c r="K127" s="843"/>
      <c r="L127" s="837"/>
      <c r="M127" s="3"/>
    </row>
    <row r="128" spans="1:13" ht="15.75" customHeight="1" thickBot="1">
      <c r="A128" s="34" t="s">
        <v>449</v>
      </c>
      <c r="B128" s="39" t="s">
        <v>479</v>
      </c>
      <c r="C128" s="858" t="e">
        <f>600/C130</f>
        <v>#DIV/0!</v>
      </c>
      <c r="D128" s="859"/>
      <c r="E128" s="3"/>
      <c r="F128" s="850" t="s">
        <v>108</v>
      </c>
      <c r="G128" s="851"/>
      <c r="H128" s="852"/>
      <c r="I128" s="836" t="str">
        <f>IF(ISERROR(IF(AND(C128&gt;2.5,C128&lt;=4),"B - Orta Tehlike",IF(AND(C128&gt;4,C128&lt;=6.5),"C - Yüksek Tehlike",IF(C128&lt;=2.5,"A - Düşük Tehlike",IF(C128&gt;6.5,"D - Çok Yüksek Tehlike"))))),"",IF(AND(C128&gt;2.5,C128&lt;=4),"B - Orta Tehlike",IF(AND(C128&gt;4,C128&lt;=6.5),"C - Yüksek Tehlike",IF(C128&lt;=2.5,"A - Düşük Tehlike",IF(C128&gt;6.5,"D - Çok Yüksek Tehlike")))))</f>
        <v/>
      </c>
      <c r="J128" s="843"/>
      <c r="K128" s="843"/>
      <c r="L128" s="837"/>
      <c r="M128" s="3"/>
    </row>
    <row r="129" spans="1:17" ht="21" customHeight="1">
      <c r="A129" s="34" t="s">
        <v>130</v>
      </c>
      <c r="B129" s="42" t="s">
        <v>131</v>
      </c>
      <c r="C129" s="38" t="e">
        <f>(3/4*(C118/1000)*(C121/0.333))</f>
        <v>#DIV/0!</v>
      </c>
      <c r="D129" s="38" t="e">
        <f>(3/4*(D118/1000)*(D121/0.333))</f>
        <v>#DIV/0!</v>
      </c>
      <c r="M129" s="3"/>
    </row>
    <row r="130" spans="1:17" ht="16.5" customHeight="1">
      <c r="A130" s="58" t="s">
        <v>190</v>
      </c>
      <c r="B130" s="35" t="s">
        <v>191</v>
      </c>
      <c r="C130" s="834">
        <f>IF(I206=3,C131,IF(I206=2,D217,""))</f>
        <v>0</v>
      </c>
      <c r="D130" s="835"/>
      <c r="M130" s="3"/>
    </row>
    <row r="131" spans="1:17" ht="16.5" customHeight="1" thickBot="1">
      <c r="A131" s="54"/>
      <c r="B131" s="55"/>
      <c r="C131" s="883"/>
      <c r="D131" s="884"/>
      <c r="M131" s="3"/>
    </row>
    <row r="132" spans="1:17" ht="16.5" customHeight="1" thickBot="1">
      <c r="A132" s="893" t="s">
        <v>51</v>
      </c>
      <c r="B132" s="3"/>
      <c r="C132" s="23"/>
      <c r="D132" s="23"/>
      <c r="E132" s="24"/>
      <c r="F132" s="25" t="s">
        <v>367</v>
      </c>
      <c r="G132" s="26"/>
      <c r="H132" s="26"/>
      <c r="I132" s="27"/>
      <c r="J132" s="27"/>
      <c r="K132" s="50"/>
      <c r="L132" s="3"/>
    </row>
    <row r="133" spans="1:17" ht="21" customHeight="1" thickBot="1">
      <c r="A133" s="894"/>
      <c r="B133" s="3"/>
      <c r="C133" s="23"/>
      <c r="D133" s="23"/>
      <c r="E133" s="3"/>
      <c r="F133" s="3"/>
      <c r="G133" s="262" t="str">
        <f>IF(AND(C138&lt;180,C138&gt;=0.1),"Zayıf Zemin",IF(AND(C138&gt;180,C138&lt;=360),"Sert/Sıkı ",IF(AND(C138&gt;360,C138&lt;=760),"ÇokSıkı Sert Zemin/ Y. Kaya",IF(AND(C138&gt;760,C138&lt;=1500),"Kaya",IF(C138=0,"",IF(C138&gt;1500,"Sert Kaya"))))))</f>
        <v/>
      </c>
      <c r="H133" s="265"/>
      <c r="I133" s="265"/>
      <c r="J133" s="265"/>
      <c r="K133" s="870" t="s">
        <v>129</v>
      </c>
      <c r="L133" s="3"/>
      <c r="M133" s="3"/>
    </row>
    <row r="134" spans="1:17" ht="21" thickBot="1">
      <c r="A134" s="889" t="s">
        <v>419</v>
      </c>
      <c r="B134" s="890"/>
      <c r="C134" s="890"/>
      <c r="D134" s="890"/>
      <c r="E134" s="865"/>
      <c r="F134" s="866"/>
      <c r="G134" s="263"/>
      <c r="H134" s="867" t="str">
        <f>IF(AND(D138&lt;180,D138&gt;=0.1),"Zayıf",IF(AND(D138&gt;180,D138&lt;=360),"Sert/Sıkı ",IF(AND(D138&gt;360,D138&lt;=760),"ÇokSıkı Sert Zemin/ Y. Kaya",IF(AND(D138&gt;760,D138&lt;=1500),"Kaya",IF(D138=0,"",IF(D138&gt;1500,"Sert Kaya"))))))</f>
        <v/>
      </c>
      <c r="I134" s="867"/>
      <c r="J134" s="867"/>
      <c r="K134" s="871"/>
      <c r="L134" s="3"/>
      <c r="M134" s="3"/>
    </row>
    <row r="135" spans="1:17" ht="16.5" customHeight="1" thickBot="1">
      <c r="A135" s="891" t="s">
        <v>0</v>
      </c>
      <c r="B135" s="887" t="s">
        <v>1</v>
      </c>
      <c r="C135" s="28" t="s">
        <v>52</v>
      </c>
      <c r="D135" s="242" t="s">
        <v>53</v>
      </c>
      <c r="E135" s="866"/>
      <c r="F135" s="866"/>
      <c r="G135" s="263"/>
      <c r="H135" s="91"/>
      <c r="I135" s="868" t="s">
        <v>2</v>
      </c>
      <c r="J135" s="869"/>
      <c r="K135" s="868" t="s">
        <v>3</v>
      </c>
      <c r="L135" s="869"/>
      <c r="M135" s="3"/>
    </row>
    <row r="136" spans="1:17" ht="16.5" thickBot="1">
      <c r="A136" s="892"/>
      <c r="B136" s="888"/>
      <c r="C136" s="261" t="str">
        <f>G138</f>
        <v/>
      </c>
      <c r="D136" s="260" t="str">
        <f>H138</f>
        <v/>
      </c>
      <c r="E136" s="885" t="s">
        <v>457</v>
      </c>
      <c r="F136" s="886"/>
      <c r="G136" s="263"/>
      <c r="H136" s="91"/>
      <c r="I136" s="840" t="s">
        <v>22</v>
      </c>
      <c r="J136" s="841"/>
      <c r="K136" s="841"/>
      <c r="L136" s="841"/>
      <c r="M136" s="282" t="s">
        <v>475</v>
      </c>
    </row>
    <row r="137" spans="1:17" ht="16.5" thickBot="1">
      <c r="A137" s="29" t="s">
        <v>4</v>
      </c>
      <c r="B137" s="30" t="s">
        <v>5</v>
      </c>
      <c r="C137" s="90"/>
      <c r="D137" s="90"/>
      <c r="E137" s="17"/>
      <c r="F137" s="3"/>
      <c r="G137" s="263"/>
      <c r="H137" s="91"/>
      <c r="I137" s="836" t="str">
        <f>IF(AND(C137&gt;1,C137&lt;=600),"Çok kolay",IF(AND(C137&gt;1500,C137&lt;=2100),"Zor",IF(AND(C137&gt;600,C137&lt;=900),"Kolay",IF(AND(C137&gt;900,C137&lt;=1500),"Orta",IF(AND(C137&gt;2100,C137&lt;=2400),"Çok Zor",IF(C137=0," ",IF(C137&gt;2400,"Son Derece Zor")))))))</f>
        <v xml:space="preserve"> </v>
      </c>
      <c r="J137" s="837"/>
      <c r="K137" s="836" t="str">
        <f>IF(AND(D137&gt;1,D137&lt;=600),"Çok kolay",IF(AND(D137&gt;1500,D137&lt;=2100),"Zor",IF(AND(D137&gt;600,D137&lt;=900),"Kolay",IF(AND(D137&gt;900,D137&lt;=1500),"Orta",IF(AND(D137&gt;2100,D137&lt;=2400),"Çok Zor",IF(D137=0,"",IF(D137&gt;2400,"Son Derece Zor")))))))</f>
        <v/>
      </c>
      <c r="L137" s="837"/>
      <c r="M137" s="3"/>
    </row>
    <row r="138" spans="1:17" ht="16.5" thickBot="1">
      <c r="A138" s="31" t="s">
        <v>6</v>
      </c>
      <c r="B138" s="32" t="s">
        <v>7</v>
      </c>
      <c r="C138" s="90"/>
      <c r="D138" s="90"/>
      <c r="E138" s="899"/>
      <c r="F138" s="900"/>
      <c r="G138" s="264" t="str">
        <f>IF(AND(C138&lt;=180,C138&gt;0.1),"E",IF(AND(C138&gt;180,C138&lt;=360),"D",IF(AND(C138&gt;360,C138&lt;=760),"C",IF(AND(C138&gt;760,C138&lt;=1500),"B",IF(C138=0,"",IF(C138&gt;1500,"A"))))))</f>
        <v/>
      </c>
      <c r="H138" s="259" t="str">
        <f>IF(AND(D138&lt;=180,D138&gt;0.1),"E",IF(AND(D138&gt;180,D138&lt;=360),"D",IF(AND(D138&gt;360,D138&lt;=760),"C",IF(AND(D138&gt;760,D138&lt;=1500),"B",IF(D138=0,"",IF(D138&gt;1500,"A"))))))</f>
        <v/>
      </c>
      <c r="I138" s="840" t="s">
        <v>23</v>
      </c>
      <c r="J138" s="841"/>
      <c r="K138" s="841"/>
      <c r="L138" s="841"/>
      <c r="M138" s="282" t="s">
        <v>474</v>
      </c>
    </row>
    <row r="139" spans="1:17" ht="16.5" thickBot="1">
      <c r="A139" s="31" t="s">
        <v>192</v>
      </c>
      <c r="B139" s="32" t="s">
        <v>193</v>
      </c>
      <c r="C139" s="830"/>
      <c r="D139" s="831"/>
      <c r="E139" s="18"/>
      <c r="F139" s="19"/>
      <c r="G139" s="3"/>
      <c r="H139" s="3"/>
      <c r="I139" s="836" t="str">
        <f>IF(AND(C140&gt;1.2,C140&lt;=1.4),"Düşük",IF(AND(C140&gt;1.4,C140&lt;=1.9),"Orta",IF(AND(C140&gt;1.9,C140&lt;=2.2),"Yüksek",IF(C140=0,"",IF(AND(C140&lt;1.2,C140&gt;0.1),"Çok Düşük",IF(C140&gt;2.2,"Çok Yüksek"))))))</f>
        <v/>
      </c>
      <c r="J139" s="843"/>
      <c r="K139" s="836" t="str">
        <f>IF(AND(D140&gt;1.2,D140&lt;=1.4),"Düşük",IF(AND(D140&gt;1.4,D140&lt;=1.9),"Orta",IF(AND(D140&gt;1.9,D140&lt;=2.2),"Yüksek",IF(D140=0,"",IF(AND(D140&lt;1.2,D140&gt;0.1),"Çok Düşük",IF(D140&gt;2.2,"Çok Yüksek"))))))</f>
        <v/>
      </c>
      <c r="L139" s="837"/>
      <c r="M139" s="3"/>
      <c r="P139" s="836" t="str">
        <f>IF(ISERROR(IF(AND(J139&gt;1.5,J139&lt;=1.71),"Katı",IF(AND(J139&gt;1.71,J139&lt;=1.87),"Sıkı-Katı",IF(AND(J139&gt;1.87,J139&lt;=2.49),"Gevşek",IF(AND(J139&gt;2.49,J139&lt;=3),"Çok Gevşek",IF(J139&lt;=1.5,"Sağlam Kaya",IF(J139&gt;3,"Cıvık-Sıvı"))))))),"",IF(AND(J139&gt;1.5,J139&lt;=1.71),"Katı",IF(AND(J139&gt;1.71,J139&lt;=1.87),"Sıkı-Katı",IF(AND(J139&gt;1.87,J139&lt;=2.49),"Gevşek",IF(AND(J139&gt;2.49,J139&lt;=3),"Çok Gevşek",IF(J139&lt;=1.5,"Sağlam Kaya",IF(J139&gt;3,"Cıvık-Sıvı")))))))</f>
        <v>Sağlam Kaya</v>
      </c>
      <c r="Q139" s="843"/>
    </row>
    <row r="140" spans="1:17" ht="16.5" thickBot="1">
      <c r="A140" s="31" t="s">
        <v>8</v>
      </c>
      <c r="B140" s="32" t="s">
        <v>9</v>
      </c>
      <c r="C140" s="14">
        <f>ROUND(D252,2)</f>
        <v>0</v>
      </c>
      <c r="D140" s="14">
        <f>ROUND(E252,2)</f>
        <v>0</v>
      </c>
      <c r="E140" s="856"/>
      <c r="F140" s="857"/>
      <c r="G140" s="857"/>
      <c r="H140" s="3"/>
      <c r="I140" s="840" t="s">
        <v>24</v>
      </c>
      <c r="J140" s="841"/>
      <c r="K140" s="841"/>
      <c r="L140" s="842"/>
      <c r="M140" s="282" t="s">
        <v>476</v>
      </c>
    </row>
    <row r="141" spans="1:17" ht="16.5" thickBot="1">
      <c r="A141" s="31" t="s">
        <v>10</v>
      </c>
      <c r="B141" s="32" t="s">
        <v>11</v>
      </c>
      <c r="C141" s="14" t="e">
        <f>C137/C138</f>
        <v>#DIV/0!</v>
      </c>
      <c r="D141" s="14" t="e">
        <f>D137/D138</f>
        <v>#DIV/0!</v>
      </c>
      <c r="E141" s="49"/>
      <c r="F141" s="49"/>
      <c r="G141" s="3"/>
      <c r="H141" s="3"/>
      <c r="I141" s="836" t="str">
        <f>IF(ISERROR(IF(AND(C141&gt;1.5,C141&lt;=1.71),"Katı",IF(AND(C141&gt;1.71,C141&lt;=1.87),"Sıkı-Katı",IF(AND(C141&gt;1.87,C141&lt;=2.49),"Gevşek",IF(AND(C141&gt;2.49,C141&lt;=3),"Çok Gevşek",IF(C141&lt;=1.5,"Sağlam Kaya",IF(C141&gt;3,"Cıvık-Sıvı"))))))),"",IF(AND(C141&gt;1.5,C141&lt;=1.71),"Katı",IF(AND(C141&gt;1.71,C141&lt;=1.87),"Sıkı-Katı",IF(AND(C141&gt;1.87,C141&lt;=2.49),"Gevşek",IF(AND(C141&gt;2.49,C141&lt;=3),"Çok Gevşek",IF(C141&lt;=1.5,"Sağlam Kaya",IF(C141&gt;3,"Cıvık-Sıvı")))))))</f>
        <v/>
      </c>
      <c r="J141" s="843"/>
      <c r="K141" s="836" t="str">
        <f>IF(ISERROR(IF(AND(D141&gt;1.5,D141&lt;=1.71),"Katı",IF(AND(D141&gt;1.71,D141&lt;=1.87),"Sıkı-Katı",IF(AND(D141&gt;1.87,D141&lt;=2.49),"Gevşek",IF(AND(D141&gt;2.49,D141&lt;=3),"Çok Gevşek",IF(D141&lt;=1.5,"Sağlam Kaya",IF(D141&gt;3,"Cıvık-Sıvı"))))))),"",IF(AND(D141&gt;1.5,D141&lt;=1.71),"Katı",IF(AND(D141&gt;1.71,D141&lt;=1.87),"Sıkı-Katı",IF(AND(D141&gt;1.87,D141&lt;=2.49),"Gevşek",IF(AND(D141&gt;2.49,D141&lt;=3),"Çok Gevşek",IF(D141&lt;=1.5,"Sağlam Kaya",IF(D141&gt;3,"Cıvık-Sıvı")))))))</f>
        <v/>
      </c>
      <c r="L141" s="837"/>
      <c r="M141" s="3"/>
    </row>
    <row r="142" spans="1:17" ht="16.5" thickBot="1">
      <c r="A142" s="31" t="s">
        <v>12</v>
      </c>
      <c r="B142" s="32" t="s">
        <v>13</v>
      </c>
      <c r="C142" s="14" t="e">
        <f>(C137^2-2*C138^2)/(2*C137^2-2*C138^2)</f>
        <v>#DIV/0!</v>
      </c>
      <c r="D142" s="14" t="e">
        <f>(D137^2-2*D138^2)/(2*D137^2-2*D138^2)</f>
        <v>#DIV/0!</v>
      </c>
      <c r="G142" s="3"/>
      <c r="H142" s="3"/>
      <c r="I142" s="840" t="s">
        <v>25</v>
      </c>
      <c r="J142" s="841"/>
      <c r="K142" s="841"/>
      <c r="L142" s="842"/>
      <c r="M142" s="282" t="s">
        <v>474</v>
      </c>
    </row>
    <row r="143" spans="1:17" ht="16.5" thickBot="1">
      <c r="A143" s="31" t="s">
        <v>14</v>
      </c>
      <c r="B143" s="32" t="s">
        <v>15</v>
      </c>
      <c r="C143" s="13">
        <f>C140*(C138^2)/100</f>
        <v>0</v>
      </c>
      <c r="D143" s="13">
        <f>D140*(D138^2)/100</f>
        <v>0</v>
      </c>
      <c r="E143" s="49"/>
      <c r="F143" s="49"/>
      <c r="G143" s="3"/>
      <c r="H143" s="3"/>
      <c r="I143" s="836" t="e">
        <f>IF(AND(C142&gt;=0.1,C142&lt;0.2),"Katı",IF(AND(C142&gt;=0.2,C142&lt;0.3),"Sıkı-Katı",IF(AND(C142&gt;=0.3,C142&lt;0.4),"Gevşek",IF(AND(C142&gt;=0.4,C142&lt;0.5),"Çok Gevşek",IF(C142&lt;0.1,"Sağlam Kaya",IF(C142&gt;=0.5,"Cıvık-Sıvı"))))))</f>
        <v>#DIV/0!</v>
      </c>
      <c r="J143" s="843"/>
      <c r="K143" s="836" t="e">
        <f>IF(AND(D142&gt;=0.1,D142&lt;0.2),"Katı",IF(AND(D142&gt;=0.2,D142&lt;0.3),"Sıkı-Katı",IF(AND(D142&gt;=0.3,D142&lt;0.4),"Gevşek",IF(AND(D142&gt;=0.4,D142&lt;0.5),"Çok Gevşek",IF(D142&lt;0.1,"Sağlam Kaya",IF(D142&gt;=0.5,"Cıvık-Sıvı"))))))</f>
        <v>#DIV/0!</v>
      </c>
      <c r="L143" s="843"/>
      <c r="M143" s="3"/>
    </row>
    <row r="144" spans="1:17" ht="16.5" thickBot="1">
      <c r="A144" s="31" t="s">
        <v>16</v>
      </c>
      <c r="B144" s="32" t="s">
        <v>17</v>
      </c>
      <c r="C144" s="15" t="e">
        <f>C143*(((3*C137^2)-(4*(C138^2)))/(C137^2-C138^2))</f>
        <v>#DIV/0!</v>
      </c>
      <c r="D144" s="15" t="e">
        <f>D143*(((3*D137^2)-(4*(D138^2)))/(D137^2-D138^2))</f>
        <v>#DIV/0!</v>
      </c>
      <c r="E144" s="3"/>
      <c r="F144" s="3"/>
      <c r="G144" s="3"/>
      <c r="H144" s="3"/>
      <c r="I144" s="840" t="s">
        <v>26</v>
      </c>
      <c r="J144" s="841"/>
      <c r="K144" s="841"/>
      <c r="L144" s="842"/>
      <c r="M144" s="282" t="s">
        <v>474</v>
      </c>
    </row>
    <row r="145" spans="1:13" ht="16.5" thickBot="1">
      <c r="A145" s="31" t="s">
        <v>229</v>
      </c>
      <c r="B145" s="32" t="s">
        <v>18</v>
      </c>
      <c r="C145" s="16">
        <f>(C140*(C137^2-(4/3*C138^2)))/100</f>
        <v>0</v>
      </c>
      <c r="D145" s="16">
        <f>(D140*(D137^2-(4/3*D138^2)))/100</f>
        <v>0</v>
      </c>
      <c r="E145" s="19"/>
      <c r="F145" s="19"/>
      <c r="G145" s="3"/>
      <c r="H145" s="3"/>
      <c r="I145" s="836" t="str">
        <f>IF(AND(C143&gt;0,C143&lt;=400),"Çok Zayıf",IF(AND(C143&gt;400,C143&lt;=1500),"Zayıf",IF(AND(C143&gt;1500,C143&lt;=3000),"Orta",IF(AND(C143&gt;3000,C143&lt;=10000),"Sağlam",IF(C143=0," ",IF(C143&gt;10000,"Çok Sağlam"))))))</f>
        <v xml:space="preserve"> </v>
      </c>
      <c r="J145" s="843"/>
      <c r="K145" s="836" t="str">
        <f>IF(AND(D143&gt;0,D143&lt;=400),"Çok Zayıf",IF(AND(D143&gt;400,D143&lt;=1500),"Zayıf",IF(AND(D143&gt;1500,D143&lt;=3000),"Orta",IF(AND(D143&gt;3000,D143&lt;=10000),"Sağlam",IF(D143=0," ",IF(D143&gt;10000,"Çok Sağlam"))))))</f>
        <v xml:space="preserve"> </v>
      </c>
      <c r="L145" s="837"/>
      <c r="M145" s="3"/>
    </row>
    <row r="146" spans="1:13" ht="16.5" thickBot="1">
      <c r="A146" s="31" t="s">
        <v>19</v>
      </c>
      <c r="B146" s="32" t="s">
        <v>20</v>
      </c>
      <c r="C146" s="838" t="e">
        <f>4*((C139/C138)+((50-C139)/D138))</f>
        <v>#DIV/0!</v>
      </c>
      <c r="D146" s="839"/>
      <c r="G146" s="3"/>
      <c r="H146" s="3"/>
      <c r="I146" s="840" t="s">
        <v>27</v>
      </c>
      <c r="J146" s="841"/>
      <c r="K146" s="841"/>
      <c r="L146" s="842"/>
      <c r="M146" s="282" t="s">
        <v>474</v>
      </c>
    </row>
    <row r="147" spans="1:13" ht="16.5" thickBot="1">
      <c r="A147" s="31" t="s">
        <v>21</v>
      </c>
      <c r="B147" s="32" t="s">
        <v>742</v>
      </c>
      <c r="C147" s="14">
        <f>(C140*C138)/100</f>
        <v>0</v>
      </c>
      <c r="D147" s="14">
        <f>(D140*D138)/100</f>
        <v>0</v>
      </c>
      <c r="E147" s="49"/>
      <c r="F147" s="49"/>
      <c r="G147" s="3"/>
      <c r="H147" s="3"/>
      <c r="I147" s="836" t="str">
        <f>IF(ISERROR( IF(AND(C144&gt;1000,C144&lt;=5000),"Zayıf",IF(AND(C144&gt;5000,C144&lt;=10000),"Orta",IF(AND(C144&gt;10000,C144&lt;=30000),"Sağlam",IF(C144&lt;=1000,"Çok Zayıf",IF(C144&gt;30000,"Çok Sağlam")))))),"", IF(AND(C144&gt;1000,C144&lt;=5000),"Zayıf",IF(AND(C144&gt;5000,C144&lt;=10000),"Orta",IF(AND(C144&gt;10000,C144&lt;=30000),"Sağlam",IF(C144&lt;=1000,"Çok Zayıf",IF(C144&gt;30000,"Çok Sağlam"))))))</f>
        <v/>
      </c>
      <c r="J147" s="843"/>
      <c r="K147" s="836" t="str">
        <f>IF(ISERROR( IF(AND(D144&gt;1000,D144&lt;5000),"Zayıf",IF(AND(D144&gt;5001,D144&lt;10000),"Orta",IF(AND(D144&gt;10001,D144&lt;30000),"Sağlam",IF(D144&lt;1000,"Çok Zayıf",IF(D144&gt;30000,"Çok Sağlam")))))),"", IF(AND(D144&gt;1000,D144&lt;5000),"Zayıf",IF(AND(D144&gt;5001,D144&lt;10000),"Orta",IF(AND(D144&gt;10001,D144&lt;30000),"Sağlam",IF(D144&lt;1000,"Çok Zayıf",IF(D144&gt;30000,"Çok Sağlam"))))))</f>
        <v/>
      </c>
      <c r="L147" s="837"/>
      <c r="M147" s="3"/>
    </row>
    <row r="148" spans="1:13" ht="16.5" thickBot="1">
      <c r="A148" s="31" t="s">
        <v>743</v>
      </c>
      <c r="B148" s="32" t="s">
        <v>744</v>
      </c>
      <c r="C148" s="14" t="e">
        <f>((C140*C138^2)/C137)/100</f>
        <v>#DIV/0!</v>
      </c>
      <c r="D148" s="14" t="e">
        <f>((D140*D138^2)/D137)/100</f>
        <v>#DIV/0!</v>
      </c>
      <c r="E148" s="22"/>
      <c r="F148" s="49"/>
      <c r="G148" s="49"/>
      <c r="H148" s="3"/>
      <c r="I148" s="840" t="s">
        <v>28</v>
      </c>
      <c r="J148" s="841"/>
      <c r="K148" s="841"/>
      <c r="L148" s="842"/>
      <c r="M148" s="282" t="s">
        <v>474</v>
      </c>
    </row>
    <row r="149" spans="1:13" ht="16.5" thickBot="1">
      <c r="A149" s="31" t="s">
        <v>128</v>
      </c>
      <c r="B149" s="32" t="s">
        <v>132</v>
      </c>
      <c r="C149" s="14" t="e">
        <f>(C147/C144)*C139*100</f>
        <v>#DIV/0!</v>
      </c>
      <c r="D149" s="14" t="e">
        <f>(D147/D144)*C139*100</f>
        <v>#DIV/0!</v>
      </c>
      <c r="E149" s="3"/>
      <c r="F149" s="3"/>
      <c r="G149" s="3"/>
      <c r="H149" s="3"/>
      <c r="I149" s="836" t="str">
        <f>IF(AND(C145&gt;400,C145&lt;10000),"Az",IF(AND(C145&gt;10001,C145&lt;40000),"Orta",IF(AND(C145&gt;40001,C145&lt;100000),"Yüksek",IF(AND(C145&lt;400,C145&gt;1),"Çok Az",IF(C145&gt;100000,"Çok Yüksek",IF(C145=0,""))))))</f>
        <v/>
      </c>
      <c r="J149" s="843"/>
      <c r="K149" s="836" t="str">
        <f>IF(AND(D145&gt;400,D145&lt;10000),"Az",IF(AND(D145&gt;10001,D145&lt;40000),"Orta",IF(AND(D145&gt;40001,D145&lt;100000),"Yüksek",IF(AND(D145&lt;400,D145&gt;1),"Çok Az",IF(D145&gt;100000,"Çok Yüksek",IF(D145=0,""))))))</f>
        <v/>
      </c>
      <c r="L149" s="837"/>
      <c r="M149" s="3"/>
    </row>
    <row r="150" spans="1:13" ht="16.5" thickBot="1">
      <c r="A150" s="34" t="s">
        <v>103</v>
      </c>
      <c r="B150" s="35" t="s">
        <v>186</v>
      </c>
      <c r="C150" s="37">
        <f>40*(C147*9.81)</f>
        <v>0</v>
      </c>
      <c r="D150" s="37">
        <f>40*(D147*9.81)</f>
        <v>0</v>
      </c>
      <c r="E150" s="3"/>
      <c r="F150" s="3"/>
      <c r="G150" s="3"/>
      <c r="H150" s="3"/>
      <c r="I150" s="844" t="s">
        <v>29</v>
      </c>
      <c r="J150" s="845"/>
      <c r="K150" s="845"/>
      <c r="L150" s="846"/>
      <c r="M150" s="282" t="s">
        <v>473</v>
      </c>
    </row>
    <row r="151" spans="1:13" ht="16.5" thickBot="1">
      <c r="A151" s="34" t="s">
        <v>104</v>
      </c>
      <c r="B151" s="35" t="s">
        <v>106</v>
      </c>
      <c r="C151" s="38" t="e">
        <f>C146*0.67</f>
        <v>#DIV/0!</v>
      </c>
      <c r="D151" s="38" t="e">
        <f>C146*1.5</f>
        <v>#DIV/0!</v>
      </c>
      <c r="E151" s="3"/>
      <c r="F151" s="3"/>
      <c r="G151" s="3"/>
      <c r="H151" s="3"/>
      <c r="I151" s="836" t="str">
        <f>IF(ISERROR( IF(AND(C146&gt;0.3,C146&lt;=0.5),"B - Orta Tehlike",IF(AND(C146&gt;0.5,C146&lt;=0.7),"C - Yüksek Tehlike",IF(C146&lt;=0.3,"A - Düşük Tehlike",IF(C146&gt;0.7,"D - Çok Yüksek Tehlike"))))),"", IF(AND(C146&gt;0.3,C146&lt;=0.5),"B - Orta Tehlike",IF(AND(C146&gt;0.5,C146&lt;=0.7),"C - Yüksek Tehlike",IF(C146&lt;=0.3,"A - Düşük Tehlike",IF(C146&gt;0.7,"D - Çok Yüksek Tehlike")))))</f>
        <v/>
      </c>
      <c r="J151" s="843"/>
      <c r="K151" s="843"/>
      <c r="L151" s="837"/>
      <c r="M151" s="3"/>
    </row>
    <row r="152" spans="1:13" ht="16.5" thickBot="1">
      <c r="A152" s="34" t="s">
        <v>105</v>
      </c>
      <c r="B152" s="36"/>
      <c r="C152" s="38" t="e">
        <f>-0.175*LN(C137)+1.56</f>
        <v>#NUM!</v>
      </c>
      <c r="D152" s="38" t="e">
        <f>-0.175*LN(D137)+1.56</f>
        <v>#NUM!</v>
      </c>
      <c r="E152" s="3"/>
      <c r="F152" s="3"/>
      <c r="G152" s="3"/>
      <c r="H152" s="3"/>
      <c r="I152" s="847" t="s">
        <v>30</v>
      </c>
      <c r="J152" s="848"/>
      <c r="K152" s="848"/>
      <c r="L152" s="849"/>
      <c r="M152" s="282" t="s">
        <v>472</v>
      </c>
    </row>
    <row r="153" spans="1:13" ht="16.5" thickBot="1">
      <c r="A153" s="34" t="s">
        <v>448</v>
      </c>
      <c r="B153" s="39" t="s">
        <v>479</v>
      </c>
      <c r="C153" s="858" t="e">
        <f>700/C156</f>
        <v>#DIV/0!</v>
      </c>
      <c r="D153" s="859"/>
      <c r="E153" s="3"/>
      <c r="F153" s="853" t="s">
        <v>107</v>
      </c>
      <c r="G153" s="854"/>
      <c r="H153" s="855"/>
      <c r="I153" s="836" t="str">
        <f>IF(ISERROR(IF(AND(C153&gt;2.5,C153&lt;=4),"B - Orta Tehlike",IF(AND(C153&gt;4,C153&lt;=6.5),"C - Yüksek Tehlike",IF(C153&lt;=2.5,"A - Düşük Tehlike",IF(C153&gt;6.5,"D - Çok Yüksek Tehlike"))))),"",IF(AND(C153&gt;2.5,C153&lt;=4),"B - Orta Tehlike",IF(AND(C153&gt;4,C153&lt;=6.5),"C - Yüksek Tehlike",IF(C153&lt;=2.5,"A - Düşük Tehlike",IF(C153&gt;6.5,"D - Çok Yüksek Tehlike")))))</f>
        <v/>
      </c>
      <c r="J153" s="843"/>
      <c r="K153" s="843"/>
      <c r="L153" s="837"/>
      <c r="M153" s="3"/>
    </row>
    <row r="154" spans="1:13" ht="16.5" thickBot="1">
      <c r="A154" s="34" t="s">
        <v>449</v>
      </c>
      <c r="B154" s="39" t="s">
        <v>479</v>
      </c>
      <c r="C154" s="858" t="e">
        <f>600/C156</f>
        <v>#DIV/0!</v>
      </c>
      <c r="D154" s="859"/>
      <c r="E154" s="3"/>
      <c r="F154" s="850" t="s">
        <v>108</v>
      </c>
      <c r="G154" s="851"/>
      <c r="H154" s="852"/>
      <c r="I154" s="836" t="str">
        <f>IF(ISERROR(IF(AND(C154&gt;2.5,C154&lt;=4),"B - Orta Tehlike",IF(AND(C154&gt;4,C154&lt;=6.5),"C - Yüksek Tehlike",IF(C154&lt;=2.5,"A - Düşük Tehlike",IF(C154&gt;6.5,"D - Çok Yüksek Tehlike"))))),"",IF(AND(C154&gt;2.5,C154&lt;=4),"B - Orta Tehlike",IF(AND(C154&gt;4,C154&lt;=6.5),"C - Yüksek Tehlike",IF(C154&lt;=2.5,"A - Düşük Tehlike",IF(C154&gt;6.5,"D - Çok Yüksek Tehlike")))))</f>
        <v/>
      </c>
      <c r="J154" s="843"/>
      <c r="K154" s="843"/>
      <c r="L154" s="837"/>
      <c r="M154" s="3"/>
    </row>
    <row r="155" spans="1:13" ht="15.75">
      <c r="A155" s="34" t="s">
        <v>130</v>
      </c>
      <c r="B155" s="42" t="s">
        <v>131</v>
      </c>
      <c r="C155" s="38" t="e">
        <f>(3/4*(C144/1000)*(C147/0.333))</f>
        <v>#DIV/0!</v>
      </c>
      <c r="D155" s="38" t="e">
        <f>(3/4*(D144/1000)*(D147/0.333))</f>
        <v>#DIV/0!</v>
      </c>
      <c r="M155" s="3"/>
    </row>
    <row r="156" spans="1:13" ht="15.75">
      <c r="A156" s="58" t="s">
        <v>447</v>
      </c>
      <c r="B156" s="35" t="s">
        <v>191</v>
      </c>
      <c r="C156" s="834">
        <f>IF(I206=3,C157,IF(I206=2,D218,""))</f>
        <v>0</v>
      </c>
      <c r="D156" s="835"/>
      <c r="E156" s="856"/>
      <c r="F156" s="857"/>
      <c r="M156" s="3"/>
    </row>
    <row r="157" spans="1:13" s="86" customFormat="1">
      <c r="C157" s="832"/>
      <c r="D157" s="833"/>
    </row>
    <row r="158" spans="1:13" s="86" customFormat="1">
      <c r="C158" s="87"/>
      <c r="D158" s="87"/>
    </row>
    <row r="159" spans="1:13" s="86" customFormat="1">
      <c r="C159" s="87"/>
      <c r="D159" s="87"/>
    </row>
    <row r="160" spans="1:13" s="86" customFormat="1">
      <c r="C160" s="87"/>
      <c r="D160" s="87"/>
    </row>
    <row r="161" spans="3:4" s="86" customFormat="1">
      <c r="C161" s="87"/>
      <c r="D161" s="87"/>
    </row>
    <row r="162" spans="3:4" s="86" customFormat="1">
      <c r="C162" s="87"/>
      <c r="D162" s="87"/>
    </row>
    <row r="163" spans="3:4" s="86" customFormat="1">
      <c r="C163" s="87"/>
      <c r="D163" s="87"/>
    </row>
    <row r="164" spans="3:4" s="86" customFormat="1">
      <c r="C164" s="87"/>
      <c r="D164" s="87"/>
    </row>
    <row r="165" spans="3:4" s="86" customFormat="1">
      <c r="C165" s="87"/>
      <c r="D165" s="87"/>
    </row>
    <row r="166" spans="3:4" s="86" customFormat="1">
      <c r="C166" s="87"/>
      <c r="D166" s="87"/>
    </row>
    <row r="167" spans="3:4" s="86" customFormat="1">
      <c r="C167" s="87"/>
      <c r="D167" s="87"/>
    </row>
    <row r="168" spans="3:4" s="86" customFormat="1">
      <c r="C168" s="87"/>
      <c r="D168" s="87"/>
    </row>
    <row r="169" spans="3:4" s="86" customFormat="1">
      <c r="C169" s="87"/>
      <c r="D169" s="87"/>
    </row>
    <row r="170" spans="3:4" s="86" customFormat="1">
      <c r="C170" s="87"/>
      <c r="D170" s="87"/>
    </row>
    <row r="171" spans="3:4" s="86" customFormat="1">
      <c r="C171" s="87"/>
      <c r="D171" s="87"/>
    </row>
    <row r="172" spans="3:4" s="86" customFormat="1">
      <c r="C172" s="87"/>
      <c r="D172" s="87"/>
    </row>
    <row r="173" spans="3:4" s="86" customFormat="1">
      <c r="C173" s="87"/>
      <c r="D173" s="87"/>
    </row>
    <row r="174" spans="3:4" s="86" customFormat="1">
      <c r="C174" s="87"/>
      <c r="D174" s="87"/>
    </row>
    <row r="175" spans="3:4" s="86" customFormat="1">
      <c r="C175" s="87"/>
      <c r="D175" s="87"/>
    </row>
    <row r="176" spans="3:4" s="86" customFormat="1">
      <c r="C176" s="87"/>
      <c r="D176" s="87"/>
    </row>
    <row r="177" spans="3:4" s="86" customFormat="1">
      <c r="C177" s="87"/>
      <c r="D177" s="87"/>
    </row>
    <row r="178" spans="3:4" s="86" customFormat="1">
      <c r="C178" s="87"/>
      <c r="D178" s="87"/>
    </row>
    <row r="179" spans="3:4" s="86" customFormat="1">
      <c r="C179" s="87"/>
      <c r="D179" s="87"/>
    </row>
    <row r="180" spans="3:4" s="86" customFormat="1">
      <c r="C180" s="87"/>
      <c r="D180" s="87"/>
    </row>
    <row r="181" spans="3:4" s="86" customFormat="1">
      <c r="C181" s="87"/>
      <c r="D181" s="87"/>
    </row>
    <row r="182" spans="3:4" s="86" customFormat="1">
      <c r="C182" s="87"/>
      <c r="D182" s="87"/>
    </row>
    <row r="183" spans="3:4" s="86" customFormat="1">
      <c r="C183" s="87"/>
      <c r="D183" s="87"/>
    </row>
    <row r="184" spans="3:4" s="86" customFormat="1">
      <c r="C184" s="87"/>
      <c r="D184" s="87"/>
    </row>
    <row r="185" spans="3:4" s="86" customFormat="1" hidden="1">
      <c r="C185" s="87"/>
      <c r="D185" s="87"/>
    </row>
    <row r="186" spans="3:4" s="86" customFormat="1" hidden="1">
      <c r="C186" s="87"/>
      <c r="D186" s="87"/>
    </row>
    <row r="187" spans="3:4" s="86" customFormat="1" hidden="1">
      <c r="C187" s="87"/>
      <c r="D187" s="87"/>
    </row>
    <row r="188" spans="3:4" s="86" customFormat="1" hidden="1">
      <c r="C188" s="87"/>
      <c r="D188" s="87"/>
    </row>
    <row r="189" spans="3:4" s="86" customFormat="1" hidden="1">
      <c r="C189" s="87"/>
      <c r="D189" s="87"/>
    </row>
    <row r="190" spans="3:4" s="86" customFormat="1" hidden="1">
      <c r="C190" s="87"/>
      <c r="D190" s="87"/>
    </row>
    <row r="191" spans="3:4" s="86" customFormat="1" hidden="1">
      <c r="C191" s="87"/>
      <c r="D191" s="87"/>
    </row>
    <row r="192" spans="3:4" s="86" customFormat="1" hidden="1">
      <c r="C192" s="87"/>
      <c r="D192" s="87"/>
    </row>
    <row r="193" spans="1:9" s="86" customFormat="1" hidden="1">
      <c r="C193" s="87"/>
      <c r="D193" s="87"/>
    </row>
    <row r="194" spans="1:9" s="86" customFormat="1" hidden="1">
      <c r="C194" s="87"/>
      <c r="D194" s="87"/>
    </row>
    <row r="195" spans="1:9" s="86" customFormat="1" hidden="1">
      <c r="C195" s="87"/>
      <c r="D195" s="87"/>
    </row>
    <row r="196" spans="1:9" s="86" customFormat="1" hidden="1">
      <c r="C196" s="87"/>
      <c r="D196" s="87"/>
    </row>
    <row r="197" spans="1:9" s="86" customFormat="1" hidden="1">
      <c r="C197" s="87"/>
      <c r="D197" s="89"/>
      <c r="E197" s="88"/>
      <c r="F197" s="88"/>
      <c r="G197" s="88"/>
      <c r="H197" s="88"/>
    </row>
    <row r="198" spans="1:9" s="86" customFormat="1" hidden="1">
      <c r="C198" s="87"/>
      <c r="D198" s="89"/>
      <c r="E198" s="88"/>
      <c r="F198" s="88"/>
      <c r="G198" s="88"/>
      <c r="H198" s="88"/>
    </row>
    <row r="199" spans="1:9" s="86" customFormat="1" hidden="1">
      <c r="C199" s="87"/>
      <c r="D199" s="89"/>
      <c r="E199" s="88"/>
      <c r="F199" s="88"/>
      <c r="G199" s="88"/>
      <c r="H199" s="88"/>
    </row>
    <row r="200" spans="1:9" s="86" customFormat="1" hidden="1">
      <c r="C200" s="87"/>
      <c r="D200" s="89"/>
      <c r="E200" s="88"/>
      <c r="F200" s="88"/>
      <c r="G200" s="88"/>
      <c r="H200" s="88"/>
    </row>
    <row r="201" spans="1:9" s="86" customFormat="1" hidden="1">
      <c r="C201" s="87"/>
      <c r="D201" s="89"/>
      <c r="E201" s="88"/>
      <c r="F201" s="88"/>
      <c r="G201" s="88"/>
      <c r="H201" s="88"/>
    </row>
    <row r="202" spans="1:9" s="86" customFormat="1" hidden="1">
      <c r="C202" s="87"/>
      <c r="D202" s="89"/>
      <c r="E202" s="88"/>
      <c r="F202" s="88"/>
      <c r="G202" s="88"/>
      <c r="H202" s="88"/>
    </row>
    <row r="203" spans="1:9" s="86" customFormat="1" hidden="1">
      <c r="A203" s="88"/>
      <c r="B203" s="88"/>
      <c r="C203" s="89"/>
      <c r="D203" s="89"/>
      <c r="E203" s="88"/>
      <c r="F203" s="88"/>
      <c r="G203" s="88"/>
      <c r="H203" s="88"/>
    </row>
    <row r="204" spans="1:9" s="86" customFormat="1" hidden="1">
      <c r="A204" s="88"/>
      <c r="B204" s="88"/>
      <c r="C204" s="89"/>
      <c r="D204" s="89"/>
      <c r="E204" s="88"/>
      <c r="F204" s="88"/>
      <c r="G204" s="88"/>
      <c r="H204" s="88"/>
    </row>
    <row r="205" spans="1:9" s="86" customFormat="1" hidden="1">
      <c r="A205" s="92" t="s">
        <v>209</v>
      </c>
      <c r="B205" s="88"/>
      <c r="C205" s="89"/>
      <c r="D205" s="89"/>
      <c r="E205" s="88"/>
      <c r="F205" s="88"/>
      <c r="G205" s="88"/>
      <c r="H205" s="88"/>
    </row>
    <row r="206" spans="1:9" s="86" customFormat="1" ht="16.5" hidden="1">
      <c r="A206" s="93" t="s">
        <v>68</v>
      </c>
      <c r="B206" s="88"/>
      <c r="C206" s="89"/>
      <c r="D206" s="89"/>
      <c r="E206" s="88"/>
      <c r="F206" s="88"/>
      <c r="G206" s="88"/>
      <c r="H206" s="88"/>
      <c r="I206" s="86">
        <v>3</v>
      </c>
    </row>
    <row r="207" spans="1:9" s="86" customFormat="1" hidden="1">
      <c r="A207" s="88"/>
      <c r="B207" s="88"/>
      <c r="C207" s="89"/>
      <c r="D207" s="89"/>
      <c r="E207" s="88"/>
      <c r="F207" s="88"/>
      <c r="G207" s="88"/>
      <c r="H207" s="88"/>
    </row>
    <row r="208" spans="1:9" s="86" customFormat="1" hidden="1">
      <c r="A208" s="88"/>
      <c r="B208" s="88"/>
      <c r="C208" s="89"/>
      <c r="D208" s="89"/>
      <c r="E208" s="88"/>
      <c r="F208" s="88"/>
      <c r="G208" s="88"/>
      <c r="H208" s="88"/>
    </row>
    <row r="209" spans="1:15" s="86" customFormat="1" hidden="1">
      <c r="A209" s="88"/>
      <c r="B209" s="88"/>
      <c r="C209" s="89"/>
      <c r="D209" s="89"/>
      <c r="E209" s="88"/>
      <c r="F209" s="88"/>
      <c r="G209" s="88"/>
      <c r="H209" s="88"/>
    </row>
    <row r="210" spans="1:15" s="86" customFormat="1" hidden="1">
      <c r="A210" s="88"/>
      <c r="B210" s="88" t="s">
        <v>227</v>
      </c>
      <c r="C210" s="89"/>
      <c r="D210" s="89" t="s">
        <v>470</v>
      </c>
      <c r="E210" s="88"/>
      <c r="F210" s="88"/>
      <c r="G210" s="88"/>
      <c r="H210" s="88"/>
      <c r="M210" s="280" t="str">
        <f>IF(I206=3,"",IF(I206=2,D213,"Yöntem Seç"))</f>
        <v/>
      </c>
      <c r="O210" s="280">
        <f>IF(I206=3,C26,IF(I206=2,D213,"Yöntem Seç"))</f>
        <v>0</v>
      </c>
    </row>
    <row r="211" spans="1:15" s="86" customFormat="1" hidden="1">
      <c r="A211" s="88"/>
      <c r="B211" s="94" t="s">
        <v>232</v>
      </c>
      <c r="C211" s="89"/>
      <c r="D211" s="89" t="s">
        <v>471</v>
      </c>
      <c r="E211" s="88"/>
      <c r="F211" s="88"/>
      <c r="G211" s="88"/>
      <c r="H211" s="88"/>
      <c r="M211" s="280" t="str">
        <f>IF(I206=2,D214,"")</f>
        <v/>
      </c>
    </row>
    <row r="212" spans="1:15" s="86" customFormat="1" hidden="1">
      <c r="A212" s="88"/>
      <c r="B212" s="95" t="s">
        <v>233</v>
      </c>
      <c r="C212" s="89"/>
      <c r="D212" s="89" t="s">
        <v>524</v>
      </c>
      <c r="E212" s="88"/>
      <c r="F212" s="88"/>
      <c r="G212" s="88"/>
      <c r="H212" s="88"/>
    </row>
    <row r="213" spans="1:15" s="86" customFormat="1" hidden="1">
      <c r="A213" s="88"/>
      <c r="B213" s="95" t="s">
        <v>234</v>
      </c>
      <c r="C213" s="89"/>
      <c r="D213" s="279" t="str">
        <f>IF(ISERROR(30/((C8/C7)+((30-C8)/D7))),"",(30/((C8/C7)+((30-C8)/D7))))</f>
        <v/>
      </c>
      <c r="E213" s="88"/>
      <c r="F213" s="88"/>
      <c r="G213" s="88"/>
      <c r="H213" s="88"/>
    </row>
    <row r="214" spans="1:15" s="86" customFormat="1" hidden="1">
      <c r="A214" s="88"/>
      <c r="B214" s="95"/>
      <c r="C214" s="89"/>
      <c r="D214" s="279" t="str">
        <f>IF(ISERROR(30/((C35/C34)+((30-C35)/D34))),"",30/((C35/C34)+((30-C35)/D34)))</f>
        <v/>
      </c>
      <c r="E214" s="88"/>
      <c r="F214" s="88"/>
      <c r="G214" s="88"/>
      <c r="H214" s="88"/>
    </row>
    <row r="215" spans="1:15" s="86" customFormat="1" hidden="1">
      <c r="A215" s="88"/>
      <c r="B215" s="88"/>
      <c r="C215" s="89"/>
      <c r="D215" s="279" t="str">
        <f>IF(ISERROR(30/((C61/C60)+((30-C61)/D60))),"",30/((C61/C60)+((30-C61)/D60)))</f>
        <v/>
      </c>
      <c r="E215" s="88"/>
      <c r="F215" s="88"/>
      <c r="G215" s="88"/>
      <c r="H215" s="88"/>
    </row>
    <row r="216" spans="1:15" s="86" customFormat="1" hidden="1">
      <c r="A216" s="88"/>
      <c r="B216" s="88"/>
      <c r="C216" s="89"/>
      <c r="D216" s="279" t="str">
        <f>IF(ISERROR(30/((C87/C86)+((30-C87)/D86))),"",30/((C87/C86)+((30-C87)/D86)))</f>
        <v/>
      </c>
      <c r="E216" s="88"/>
      <c r="F216" s="88"/>
      <c r="G216" s="88"/>
      <c r="H216" s="88"/>
    </row>
    <row r="217" spans="1:15" s="86" customFormat="1" hidden="1">
      <c r="A217" s="88"/>
      <c r="B217" s="88"/>
      <c r="C217" s="89"/>
      <c r="D217" s="279" t="str">
        <f>IF(ISERROR(30/((C113/C112)+((30-C113)/D112))),"",30/((C113/C112)+((30-C113)/D112)))</f>
        <v/>
      </c>
      <c r="E217" s="88"/>
      <c r="F217" s="88"/>
      <c r="G217" s="88"/>
      <c r="H217" s="88"/>
    </row>
    <row r="218" spans="1:15" s="86" customFormat="1" hidden="1">
      <c r="A218" s="88"/>
      <c r="B218" s="88"/>
      <c r="C218" s="89"/>
      <c r="D218" s="279" t="str">
        <f>IF(ISERROR(30/((C139/C138)+((30-C139)/D138))),"",30/((C139/C138)+((30-C139)/D138)))</f>
        <v/>
      </c>
      <c r="E218" s="88"/>
      <c r="F218" s="88"/>
      <c r="G218" s="88"/>
      <c r="H218" s="88"/>
    </row>
    <row r="219" spans="1:15" s="86" customFormat="1" ht="18" hidden="1" thickBot="1">
      <c r="A219" s="88"/>
      <c r="B219" s="88"/>
      <c r="C219" s="89"/>
      <c r="D219" s="89"/>
      <c r="E219" s="88"/>
      <c r="F219" s="88"/>
      <c r="G219" s="88"/>
      <c r="H219" s="88"/>
      <c r="M219" s="281"/>
    </row>
    <row r="220" spans="1:15" s="86" customFormat="1" ht="16.5" hidden="1" thickBot="1">
      <c r="A220" s="96"/>
      <c r="B220" s="97"/>
      <c r="C220" s="98"/>
      <c r="D220" s="99"/>
      <c r="E220" s="901"/>
      <c r="F220" s="901"/>
      <c r="G220" s="902"/>
      <c r="H220" s="86">
        <v>4</v>
      </c>
    </row>
    <row r="221" spans="1:15" s="86" customFormat="1" hidden="1">
      <c r="A221" s="88"/>
      <c r="B221" s="88"/>
      <c r="C221" s="89"/>
      <c r="D221" s="89"/>
      <c r="E221" s="88"/>
      <c r="F221" s="88"/>
      <c r="G221" s="88"/>
      <c r="H221" s="88"/>
    </row>
    <row r="222" spans="1:15" s="86" customFormat="1" hidden="1">
      <c r="A222" s="88"/>
      <c r="B222" s="88"/>
      <c r="C222" s="100"/>
      <c r="D222" s="89"/>
      <c r="E222" s="88"/>
      <c r="F222" s="88"/>
      <c r="G222" s="88"/>
      <c r="H222" s="88"/>
    </row>
    <row r="223" spans="1:15" s="86" customFormat="1" hidden="1">
      <c r="A223" s="88"/>
      <c r="B223" s="88"/>
      <c r="C223" s="100"/>
      <c r="D223" s="89"/>
      <c r="E223" s="88"/>
      <c r="F223" s="88"/>
      <c r="G223" s="88"/>
      <c r="H223" s="88"/>
    </row>
    <row r="224" spans="1:15" s="86" customFormat="1" hidden="1">
      <c r="A224" s="88"/>
      <c r="B224" s="88"/>
      <c r="C224" s="100"/>
      <c r="D224" s="89"/>
      <c r="E224" s="88"/>
      <c r="F224" s="88"/>
      <c r="G224" s="88"/>
      <c r="H224" s="88"/>
    </row>
    <row r="225" spans="1:8" s="86" customFormat="1" hidden="1">
      <c r="A225" s="88"/>
      <c r="B225" s="88"/>
      <c r="C225" s="100"/>
      <c r="D225" s="89"/>
      <c r="E225" s="88"/>
      <c r="F225" s="88"/>
      <c r="G225" s="88"/>
      <c r="H225" s="88"/>
    </row>
    <row r="226" spans="1:8" s="86" customFormat="1" hidden="1">
      <c r="A226" s="88"/>
      <c r="B226" s="88"/>
      <c r="C226" s="100"/>
      <c r="D226" s="89"/>
      <c r="E226" s="88"/>
      <c r="F226" s="88"/>
      <c r="G226" s="88"/>
      <c r="H226" s="88"/>
    </row>
    <row r="227" spans="1:8" s="86" customFormat="1" hidden="1">
      <c r="A227" s="88"/>
      <c r="B227" s="88"/>
      <c r="C227" s="100"/>
      <c r="D227" s="89"/>
      <c r="E227" s="88"/>
      <c r="F227" s="88"/>
      <c r="G227" s="88"/>
      <c r="H227" s="88"/>
    </row>
    <row r="228" spans="1:8" s="86" customFormat="1" hidden="1">
      <c r="A228" s="88"/>
      <c r="B228" s="88"/>
      <c r="C228" s="100"/>
      <c r="D228" s="89"/>
      <c r="E228" s="88"/>
      <c r="F228" s="88"/>
      <c r="G228" s="88"/>
      <c r="H228" s="88"/>
    </row>
    <row r="229" spans="1:8" s="86" customFormat="1" hidden="1">
      <c r="A229" s="88"/>
      <c r="B229" s="88"/>
      <c r="C229" s="100"/>
      <c r="D229" s="89"/>
      <c r="E229" s="88"/>
      <c r="F229" s="88"/>
      <c r="G229" s="88"/>
      <c r="H229" s="88"/>
    </row>
    <row r="230" spans="1:8" s="86" customFormat="1" hidden="1">
      <c r="A230" s="88"/>
      <c r="B230" s="88"/>
      <c r="C230" s="100"/>
      <c r="D230" s="89"/>
      <c r="E230" s="88"/>
      <c r="F230" s="88"/>
      <c r="G230" s="88"/>
      <c r="H230" s="88"/>
    </row>
    <row r="231" spans="1:8" s="86" customFormat="1" hidden="1">
      <c r="A231" s="88"/>
      <c r="B231" s="88"/>
      <c r="C231" s="100"/>
      <c r="D231" s="89"/>
      <c r="E231" s="88"/>
      <c r="F231" s="88"/>
      <c r="G231" s="88"/>
      <c r="H231" s="88"/>
    </row>
    <row r="232" spans="1:8" s="86" customFormat="1" hidden="1">
      <c r="A232" s="88"/>
      <c r="B232" s="88"/>
      <c r="C232" s="100"/>
      <c r="D232" s="89"/>
      <c r="E232" s="88"/>
      <c r="F232" s="88"/>
      <c r="G232" s="88"/>
      <c r="H232" s="88"/>
    </row>
    <row r="233" spans="1:8" s="86" customFormat="1" hidden="1">
      <c r="A233" s="88"/>
      <c r="B233" s="88"/>
      <c r="C233" s="100"/>
      <c r="D233" s="89"/>
      <c r="E233" s="88"/>
      <c r="F233" s="88"/>
      <c r="G233" s="88"/>
      <c r="H233" s="88"/>
    </row>
    <row r="234" spans="1:8" s="86" customFormat="1" hidden="1">
      <c r="A234" s="88"/>
      <c r="B234" s="88"/>
      <c r="C234" s="89"/>
      <c r="D234" s="89"/>
      <c r="E234" s="88"/>
      <c r="F234" s="88"/>
      <c r="G234" s="88"/>
      <c r="H234" s="88"/>
    </row>
    <row r="235" spans="1:8" s="86" customFormat="1" hidden="1">
      <c r="C235" s="87"/>
      <c r="D235" s="89"/>
      <c r="E235" s="88"/>
      <c r="F235" s="88"/>
      <c r="G235" s="88"/>
      <c r="H235" s="88"/>
    </row>
    <row r="236" spans="1:8" s="86" customFormat="1" hidden="1">
      <c r="A236" s="111">
        <v>1</v>
      </c>
      <c r="B236" s="112"/>
      <c r="C236" s="113"/>
      <c r="D236" s="229" t="s">
        <v>227</v>
      </c>
      <c r="E236" s="230" t="s">
        <v>227</v>
      </c>
      <c r="F236" s="88"/>
      <c r="G236" s="88"/>
      <c r="H236" s="88"/>
    </row>
    <row r="237" spans="1:8" s="86" customFormat="1" hidden="1">
      <c r="A237" s="114">
        <v>2</v>
      </c>
      <c r="B237" s="115">
        <f>0.44*(C7^0.25)</f>
        <v>0</v>
      </c>
      <c r="C237" s="116">
        <f>0.44*(D7^0.25)</f>
        <v>0</v>
      </c>
      <c r="D237" s="100">
        <f>VLOOKUP(H220,A236:B239,2,0)</f>
        <v>0</v>
      </c>
      <c r="E237" s="231">
        <f>VLOOKUP(H220,A237:C239,3,0)</f>
        <v>0</v>
      </c>
      <c r="F237" s="88"/>
      <c r="G237" s="88"/>
      <c r="H237" s="88"/>
    </row>
    <row r="238" spans="1:8" s="86" customFormat="1" hidden="1">
      <c r="A238" s="117">
        <v>3</v>
      </c>
      <c r="B238" s="115">
        <f>(0.76*C6^0.074*C7^0.074)</f>
        <v>0</v>
      </c>
      <c r="C238" s="116">
        <f>(0.76*D6^0.074*D7^0.074)</f>
        <v>0</v>
      </c>
      <c r="D238" s="89"/>
      <c r="E238" s="232"/>
      <c r="F238" s="88"/>
      <c r="G238" s="88"/>
      <c r="H238" s="88"/>
    </row>
    <row r="239" spans="1:8" s="86" customFormat="1" hidden="1">
      <c r="A239" s="118">
        <v>4</v>
      </c>
      <c r="B239" s="119">
        <f>0.31*(C6^0.25)</f>
        <v>0</v>
      </c>
      <c r="C239" s="120">
        <f>0.31*(D6^0.25)</f>
        <v>0</v>
      </c>
      <c r="D239" s="233"/>
      <c r="E239" s="234"/>
      <c r="F239" s="88"/>
      <c r="G239" s="88"/>
      <c r="H239" s="88"/>
    </row>
    <row r="240" spans="1:8" s="86" customFormat="1" hidden="1">
      <c r="A240" s="121">
        <v>2</v>
      </c>
      <c r="B240" s="122">
        <f>0.44*(C34^0.25)</f>
        <v>0</v>
      </c>
      <c r="C240" s="123">
        <f>0.44*(D34^0.25)</f>
        <v>0</v>
      </c>
      <c r="D240" s="235">
        <f>VLOOKUP(H220,A240:C242,2,0)</f>
        <v>0</v>
      </c>
      <c r="E240" s="236">
        <f>VLOOKUP(H220,A240:C242,3,0)</f>
        <v>0</v>
      </c>
      <c r="F240" s="88"/>
      <c r="G240" s="88"/>
      <c r="H240" s="88"/>
    </row>
    <row r="241" spans="1:10" hidden="1">
      <c r="A241" s="117">
        <v>3</v>
      </c>
      <c r="B241" s="115">
        <f>(0.76*C33^0.074*C34^0.074)</f>
        <v>0</v>
      </c>
      <c r="C241" s="116">
        <f>(0.76*D33^0.074*D34^0.074)</f>
        <v>0</v>
      </c>
      <c r="D241" s="23"/>
      <c r="E241" s="237"/>
      <c r="F241" s="3"/>
      <c r="G241" s="3"/>
      <c r="H241" s="3"/>
    </row>
    <row r="242" spans="1:10" hidden="1">
      <c r="A242" s="118">
        <v>4</v>
      </c>
      <c r="B242" s="119">
        <f>0.31*(C33^0.25)</f>
        <v>0</v>
      </c>
      <c r="C242" s="120">
        <f>0.31*(D33^0.25)</f>
        <v>0</v>
      </c>
      <c r="D242" s="322"/>
      <c r="E242" s="238"/>
      <c r="F242" s="3"/>
      <c r="G242" s="3"/>
      <c r="H242" s="3"/>
      <c r="J242" s="88" t="s">
        <v>227</v>
      </c>
    </row>
    <row r="243" spans="1:10" hidden="1">
      <c r="A243" s="121">
        <v>2</v>
      </c>
      <c r="B243" s="122">
        <f>0.44*(C60^0.25)</f>
        <v>0</v>
      </c>
      <c r="C243" s="123">
        <f>0.44*(D60^0.25)</f>
        <v>0</v>
      </c>
      <c r="D243" s="235">
        <f>VLOOKUP(H220,A243:C245,2,0)</f>
        <v>0</v>
      </c>
      <c r="E243" s="236">
        <f>VLOOKUP(H220,A243:C245,3,0)</f>
        <v>0</v>
      </c>
      <c r="F243" s="3"/>
      <c r="G243" s="3"/>
      <c r="H243" s="3"/>
      <c r="J243" s="94" t="s">
        <v>232</v>
      </c>
    </row>
    <row r="244" spans="1:10" hidden="1">
      <c r="A244" s="117">
        <v>3</v>
      </c>
      <c r="B244" s="115">
        <f>(0.76*C59^0.074*C60^0.074)</f>
        <v>0</v>
      </c>
      <c r="C244" s="116">
        <f>(0.76*D59^0.074*D60^0.074)</f>
        <v>0</v>
      </c>
      <c r="D244" s="23"/>
      <c r="E244" s="237"/>
      <c r="F244" s="3"/>
      <c r="G244" s="3"/>
      <c r="H244" s="3"/>
      <c r="J244" s="95" t="s">
        <v>233</v>
      </c>
    </row>
    <row r="245" spans="1:10" hidden="1">
      <c r="A245" s="118">
        <v>4</v>
      </c>
      <c r="B245" s="119">
        <f>0.31*(C59^0.25)</f>
        <v>0</v>
      </c>
      <c r="C245" s="120">
        <f>0.31*(D59^0.25)</f>
        <v>0</v>
      </c>
      <c r="D245" s="322"/>
      <c r="E245" s="238"/>
      <c r="F245" s="3"/>
      <c r="G245" s="3"/>
      <c r="H245" s="3"/>
      <c r="J245" s="95" t="s">
        <v>234</v>
      </c>
    </row>
    <row r="246" spans="1:10" hidden="1">
      <c r="A246" s="121">
        <v>2</v>
      </c>
      <c r="B246" s="122">
        <f>0.44*(C86^0.25)</f>
        <v>0</v>
      </c>
      <c r="C246" s="123">
        <f>0.44*(D86^0.25)</f>
        <v>0</v>
      </c>
      <c r="D246" s="235">
        <f>VLOOKUP(H220,A246:C248,2,0)</f>
        <v>0</v>
      </c>
      <c r="E246" s="236">
        <f>VLOOKUP(H220,A246:C248,3,0)</f>
        <v>0</v>
      </c>
      <c r="F246" s="3"/>
      <c r="G246" s="3"/>
      <c r="H246" s="3"/>
    </row>
    <row r="247" spans="1:10" hidden="1">
      <c r="A247" s="117">
        <v>3</v>
      </c>
      <c r="B247" s="115">
        <f>(0.76*C85^0.074*C86^0.074)</f>
        <v>0</v>
      </c>
      <c r="C247" s="116">
        <f>(0.76*D85^0.074*D86^0.074)</f>
        <v>0</v>
      </c>
      <c r="D247" s="23"/>
      <c r="E247" s="237"/>
      <c r="F247" s="3"/>
      <c r="G247" s="3"/>
      <c r="H247" s="3"/>
    </row>
    <row r="248" spans="1:10" hidden="1">
      <c r="A248" s="118">
        <v>4</v>
      </c>
      <c r="B248" s="119">
        <f>0.31*(C85^0.25)</f>
        <v>0</v>
      </c>
      <c r="C248" s="120">
        <f>0.31*(D85^0.25)</f>
        <v>0</v>
      </c>
      <c r="D248" s="322"/>
      <c r="E248" s="238"/>
      <c r="F248" s="3"/>
      <c r="G248" s="3"/>
      <c r="H248" s="3"/>
    </row>
    <row r="249" spans="1:10" hidden="1">
      <c r="A249" s="125">
        <v>2</v>
      </c>
      <c r="B249" s="126">
        <f>0.44*(C112^0.25)</f>
        <v>0</v>
      </c>
      <c r="C249" s="124">
        <f>0.44*(D112^0.25)</f>
        <v>0</v>
      </c>
      <c r="D249" s="235">
        <f>VLOOKUP(H220,A249:C251,2,0)</f>
        <v>0</v>
      </c>
      <c r="E249" s="236">
        <f>VLOOKUP(H220,A249:C251,3,0)</f>
        <v>0</v>
      </c>
      <c r="F249" s="3"/>
      <c r="G249" s="3"/>
      <c r="H249" s="3"/>
    </row>
    <row r="250" spans="1:10" hidden="1">
      <c r="A250" s="127">
        <v>3</v>
      </c>
      <c r="B250" s="128">
        <f>(0.76*C111^0.074*C112^0.074)</f>
        <v>0</v>
      </c>
      <c r="C250" s="129">
        <f>(0.76*D111^0.074*D112^0.074)</f>
        <v>0</v>
      </c>
      <c r="D250" s="23"/>
      <c r="E250" s="237"/>
      <c r="F250" s="3"/>
      <c r="G250" s="3"/>
      <c r="H250" s="3"/>
    </row>
    <row r="251" spans="1:10" hidden="1">
      <c r="A251" s="130">
        <v>4</v>
      </c>
      <c r="B251" s="131">
        <f>0.31*(C111^0.25)</f>
        <v>0</v>
      </c>
      <c r="C251" s="132">
        <f>0.31*(D111^0.25)</f>
        <v>0</v>
      </c>
      <c r="D251" s="322"/>
      <c r="E251" s="238"/>
      <c r="F251" s="3"/>
      <c r="G251" s="3"/>
      <c r="H251" s="3"/>
    </row>
    <row r="252" spans="1:10" hidden="1">
      <c r="A252" s="125">
        <v>2</v>
      </c>
      <c r="B252" s="126">
        <f>0.44*(C138^0.25)</f>
        <v>0</v>
      </c>
      <c r="C252" s="124">
        <f>0.44*(D138^0.25)</f>
        <v>0</v>
      </c>
      <c r="D252" s="235">
        <f>VLOOKUP(H220,A252:C254,2,0)</f>
        <v>0</v>
      </c>
      <c r="E252" s="236">
        <f>VLOOKUP(H220,A252:C254,3,0)</f>
        <v>0</v>
      </c>
      <c r="F252" s="3"/>
      <c r="G252" s="3"/>
      <c r="H252" s="3"/>
    </row>
    <row r="253" spans="1:10" hidden="1">
      <c r="A253" s="127">
        <v>3</v>
      </c>
      <c r="B253" s="128">
        <f>(0.76*C137^0.074*C138^0.074)</f>
        <v>0</v>
      </c>
      <c r="C253" s="129">
        <f>(0.76*D137^0.074*D138^0.074)</f>
        <v>0</v>
      </c>
      <c r="D253" s="23"/>
      <c r="E253" s="237"/>
      <c r="F253" s="3"/>
      <c r="G253" s="3"/>
      <c r="H253" s="3"/>
    </row>
    <row r="254" spans="1:10" hidden="1">
      <c r="A254" s="130">
        <v>4</v>
      </c>
      <c r="B254" s="131">
        <f>0.31*(C137^0.25)</f>
        <v>0</v>
      </c>
      <c r="C254" s="132">
        <f>0.31*(D137^0.25)</f>
        <v>0</v>
      </c>
      <c r="D254" s="322"/>
      <c r="E254" s="238"/>
      <c r="F254" s="3"/>
      <c r="G254" s="3"/>
      <c r="H254" s="3"/>
    </row>
    <row r="255" spans="1:10" hidden="1">
      <c r="D255" s="23"/>
      <c r="E255" s="3"/>
      <c r="F255" s="3"/>
      <c r="G255" s="3"/>
      <c r="H255" s="3"/>
    </row>
    <row r="256" spans="1:10" hidden="1">
      <c r="D256" s="23"/>
      <c r="E256" s="3"/>
      <c r="F256" s="3"/>
      <c r="G256" s="3"/>
      <c r="H256" s="3"/>
    </row>
    <row r="257" spans="4:8" hidden="1">
      <c r="D257" s="23"/>
      <c r="E257" s="3"/>
      <c r="F257" s="3"/>
      <c r="G257" s="3"/>
      <c r="H257" s="3"/>
    </row>
    <row r="258" spans="4:8" hidden="1">
      <c r="D258" s="23"/>
      <c r="E258" s="3"/>
      <c r="F258" s="3"/>
      <c r="G258" s="3"/>
      <c r="H258" s="3"/>
    </row>
    <row r="259" spans="4:8" hidden="1">
      <c r="D259" s="23"/>
      <c r="E259" s="3"/>
      <c r="F259" s="3"/>
      <c r="G259" s="3"/>
      <c r="H259" s="3"/>
    </row>
    <row r="260" spans="4:8" hidden="1">
      <c r="D260" s="23"/>
      <c r="E260" s="3"/>
      <c r="F260" s="3"/>
      <c r="G260" s="3"/>
      <c r="H260" s="3"/>
    </row>
    <row r="261" spans="4:8" hidden="1">
      <c r="D261" s="23"/>
      <c r="E261" s="3"/>
      <c r="F261" s="3"/>
      <c r="G261" s="3"/>
      <c r="H261" s="3"/>
    </row>
    <row r="262" spans="4:8" hidden="1">
      <c r="D262" s="23"/>
      <c r="E262" s="3"/>
      <c r="F262" s="3"/>
      <c r="G262" s="3"/>
      <c r="H262" s="3"/>
    </row>
    <row r="263" spans="4:8" hidden="1">
      <c r="D263" s="23"/>
      <c r="E263" s="3"/>
      <c r="F263" s="3"/>
      <c r="G263" s="3"/>
      <c r="H263" s="3"/>
    </row>
    <row r="264" spans="4:8" hidden="1"/>
    <row r="265" spans="4:8" hidden="1"/>
    <row r="266" spans="4:8" hidden="1"/>
    <row r="267" spans="4:8" hidden="1"/>
    <row r="268" spans="4:8" hidden="1"/>
    <row r="269" spans="4:8" hidden="1"/>
    <row r="270" spans="4:8" hidden="1"/>
    <row r="271" spans="4:8" hidden="1"/>
    <row r="272" spans="4:8" hidden="1"/>
  </sheetData>
  <sheetProtection algorithmName="SHA-512" hashValue="UUcxYsRVg2OFOlyMkkBupt749zOjYaLa5Hk6Bczu2s85SlMbsqifRnRBkUCAWOnFUtOII54v+BJz0mWYQD7djQ==" saltValue="JsnDePrgvtCivMkpHQSqzQ==" spinCount="100000" sheet="1" objects="1" scenarios="1"/>
  <mergeCells count="361">
    <mergeCell ref="AB13:AC14"/>
    <mergeCell ref="AB15:AC16"/>
    <mergeCell ref="AB17:AC18"/>
    <mergeCell ref="P62:Q62"/>
    <mergeCell ref="P139:Q139"/>
    <mergeCell ref="N5:N6"/>
    <mergeCell ref="O5:O6"/>
    <mergeCell ref="P5:P6"/>
    <mergeCell ref="Q5:Q6"/>
    <mergeCell ref="R5:R6"/>
    <mergeCell ref="AB5:AC6"/>
    <mergeCell ref="N7:N8"/>
    <mergeCell ref="N9:N10"/>
    <mergeCell ref="S5:S6"/>
    <mergeCell ref="T5:T6"/>
    <mergeCell ref="U5:U6"/>
    <mergeCell ref="V5:V6"/>
    <mergeCell ref="R7:R8"/>
    <mergeCell ref="R9:R10"/>
    <mergeCell ref="N32:Q32"/>
    <mergeCell ref="R24:T24"/>
    <mergeCell ref="R27:T27"/>
    <mergeCell ref="R26:T26"/>
    <mergeCell ref="R28:T28"/>
    <mergeCell ref="I10:J10"/>
    <mergeCell ref="K10:L10"/>
    <mergeCell ref="I11:L11"/>
    <mergeCell ref="I12:J12"/>
    <mergeCell ref="K12:L12"/>
    <mergeCell ref="AB7:AC8"/>
    <mergeCell ref="AB9:AC10"/>
    <mergeCell ref="AB11:AC12"/>
    <mergeCell ref="K89:L89"/>
    <mergeCell ref="I67:J67"/>
    <mergeCell ref="K67:L67"/>
    <mergeCell ref="I60:L60"/>
    <mergeCell ref="I84:L84"/>
    <mergeCell ref="I85:J85"/>
    <mergeCell ref="K85:L85"/>
    <mergeCell ref="I87:J87"/>
    <mergeCell ref="K87:L87"/>
    <mergeCell ref="I72:L72"/>
    <mergeCell ref="H82:J82"/>
    <mergeCell ref="I83:J83"/>
    <mergeCell ref="K83:L83"/>
    <mergeCell ref="I71:J71"/>
    <mergeCell ref="I61:J61"/>
    <mergeCell ref="I69:J69"/>
    <mergeCell ref="C15:D15"/>
    <mergeCell ref="I64:L64"/>
    <mergeCell ref="K18:L18"/>
    <mergeCell ref="I66:L66"/>
    <mergeCell ref="I15:L15"/>
    <mergeCell ref="I16:J16"/>
    <mergeCell ref="K16:L16"/>
    <mergeCell ref="I17:L17"/>
    <mergeCell ref="F56:F57"/>
    <mergeCell ref="H56:J56"/>
    <mergeCell ref="I57:J57"/>
    <mergeCell ref="I42:L42"/>
    <mergeCell ref="I37:J37"/>
    <mergeCell ref="K37:L37"/>
    <mergeCell ref="I39:J39"/>
    <mergeCell ref="C42:D42"/>
    <mergeCell ref="C52:D52"/>
    <mergeCell ref="I48:L48"/>
    <mergeCell ref="K43:L43"/>
    <mergeCell ref="C50:D50"/>
    <mergeCell ref="F22:H22"/>
    <mergeCell ref="F23:H23"/>
    <mergeCell ref="K29:K30"/>
    <mergeCell ref="G30:G33"/>
    <mergeCell ref="E220:G220"/>
    <mergeCell ref="E114:G114"/>
    <mergeCell ref="F101:H101"/>
    <mergeCell ref="F108:F109"/>
    <mergeCell ref="H108:J108"/>
    <mergeCell ref="I109:J109"/>
    <mergeCell ref="K109:L109"/>
    <mergeCell ref="K93:L93"/>
    <mergeCell ref="F75:H75"/>
    <mergeCell ref="I114:L114"/>
    <mergeCell ref="E108:E109"/>
    <mergeCell ref="F102:H102"/>
    <mergeCell ref="I115:J115"/>
    <mergeCell ref="E84:F84"/>
    <mergeCell ref="F76:H76"/>
    <mergeCell ref="I92:L92"/>
    <mergeCell ref="I93:J93"/>
    <mergeCell ref="I86:L86"/>
    <mergeCell ref="I88:L88"/>
    <mergeCell ref="I89:J89"/>
    <mergeCell ref="I91:J91"/>
    <mergeCell ref="K91:L91"/>
    <mergeCell ref="I138:L138"/>
    <mergeCell ref="E138:F138"/>
    <mergeCell ref="E3:E4"/>
    <mergeCell ref="F3:F4"/>
    <mergeCell ref="A4:A5"/>
    <mergeCell ref="B4:B5"/>
    <mergeCell ref="I9:L9"/>
    <mergeCell ref="I6:J6"/>
    <mergeCell ref="K6:L6"/>
    <mergeCell ref="I5:L5"/>
    <mergeCell ref="I4:J4"/>
    <mergeCell ref="K4:L4"/>
    <mergeCell ref="I7:L7"/>
    <mergeCell ref="I8:J8"/>
    <mergeCell ref="K8:L8"/>
    <mergeCell ref="E9:G9"/>
    <mergeCell ref="E5:F5"/>
    <mergeCell ref="E7:F7"/>
    <mergeCell ref="K2:K3"/>
    <mergeCell ref="A1:A2"/>
    <mergeCell ref="C8:D8"/>
    <mergeCell ref="H3:J3"/>
    <mergeCell ref="A3:D3"/>
    <mergeCell ref="H31:H33"/>
    <mergeCell ref="C26:D26"/>
    <mergeCell ref="C22:D22"/>
    <mergeCell ref="C23:D23"/>
    <mergeCell ref="I33:J33"/>
    <mergeCell ref="C25:D25"/>
    <mergeCell ref="H30:J30"/>
    <mergeCell ref="I31:J31"/>
    <mergeCell ref="K31:L31"/>
    <mergeCell ref="I32:L32"/>
    <mergeCell ref="A30:D30"/>
    <mergeCell ref="A31:A32"/>
    <mergeCell ref="B31:B32"/>
    <mergeCell ref="A28:A29"/>
    <mergeCell ref="E30:E31"/>
    <mergeCell ref="F30:F31"/>
    <mergeCell ref="E32:F32"/>
    <mergeCell ref="I22:L22"/>
    <mergeCell ref="I23:L23"/>
    <mergeCell ref="I119:J119"/>
    <mergeCell ref="I122:L122"/>
    <mergeCell ref="I123:J123"/>
    <mergeCell ref="K123:L123"/>
    <mergeCell ref="I124:L124"/>
    <mergeCell ref="F127:H127"/>
    <mergeCell ref="K119:L119"/>
    <mergeCell ref="I120:L120"/>
    <mergeCell ref="I121:J121"/>
    <mergeCell ref="K121:L121"/>
    <mergeCell ref="I137:J137"/>
    <mergeCell ref="K137:L137"/>
    <mergeCell ref="F128:H128"/>
    <mergeCell ref="I127:L127"/>
    <mergeCell ref="I128:L128"/>
    <mergeCell ref="C78:D78"/>
    <mergeCell ref="C94:D94"/>
    <mergeCell ref="A106:A107"/>
    <mergeCell ref="C75:D75"/>
    <mergeCell ref="C104:D104"/>
    <mergeCell ref="A83:A84"/>
    <mergeCell ref="C87:D87"/>
    <mergeCell ref="A132:A133"/>
    <mergeCell ref="A134:D134"/>
    <mergeCell ref="A135:A136"/>
    <mergeCell ref="B135:B136"/>
    <mergeCell ref="E136:F136"/>
    <mergeCell ref="I136:L136"/>
    <mergeCell ref="K115:L115"/>
    <mergeCell ref="I116:L116"/>
    <mergeCell ref="I117:J117"/>
    <mergeCell ref="K117:L117"/>
    <mergeCell ref="I111:J111"/>
    <mergeCell ref="K111:L111"/>
    <mergeCell ref="F50:H50"/>
    <mergeCell ref="I50:L50"/>
    <mergeCell ref="F49:H49"/>
    <mergeCell ref="I46:L46"/>
    <mergeCell ref="C101:D101"/>
    <mergeCell ref="E82:E83"/>
    <mergeCell ref="E88:G88"/>
    <mergeCell ref="K69:L69"/>
    <mergeCell ref="K57:L57"/>
    <mergeCell ref="I68:L68"/>
    <mergeCell ref="I63:J63"/>
    <mergeCell ref="K63:L63"/>
    <mergeCell ref="K65:L65"/>
    <mergeCell ref="I65:J65"/>
    <mergeCell ref="C53:D53"/>
    <mergeCell ref="E56:E57"/>
    <mergeCell ref="K95:L95"/>
    <mergeCell ref="I96:L96"/>
    <mergeCell ref="I97:J97"/>
    <mergeCell ref="K97:L97"/>
    <mergeCell ref="E36:G36"/>
    <mergeCell ref="I34:L34"/>
    <mergeCell ref="I35:J35"/>
    <mergeCell ref="K35:L35"/>
    <mergeCell ref="I36:L36"/>
    <mergeCell ref="I74:L74"/>
    <mergeCell ref="A54:A55"/>
    <mergeCell ref="E62:G62"/>
    <mergeCell ref="C49:D49"/>
    <mergeCell ref="I47:L47"/>
    <mergeCell ref="E58:F58"/>
    <mergeCell ref="I58:L58"/>
    <mergeCell ref="I59:J59"/>
    <mergeCell ref="K59:L59"/>
    <mergeCell ref="K61:L61"/>
    <mergeCell ref="I62:L62"/>
    <mergeCell ref="C35:D35"/>
    <mergeCell ref="C61:D61"/>
    <mergeCell ref="I49:L49"/>
    <mergeCell ref="A56:D56"/>
    <mergeCell ref="A57:A58"/>
    <mergeCell ref="B57:B58"/>
    <mergeCell ref="C68:D68"/>
    <mergeCell ref="I43:J43"/>
    <mergeCell ref="C131:D131"/>
    <mergeCell ref="C76:D76"/>
    <mergeCell ref="I70:L70"/>
    <mergeCell ref="K71:L71"/>
    <mergeCell ref="I75:L75"/>
    <mergeCell ref="I76:L76"/>
    <mergeCell ref="E110:F110"/>
    <mergeCell ref="I110:L110"/>
    <mergeCell ref="B83:B84"/>
    <mergeCell ref="I98:L98"/>
    <mergeCell ref="B109:B110"/>
    <mergeCell ref="C127:D127"/>
    <mergeCell ref="C128:D128"/>
    <mergeCell ref="C79:D79"/>
    <mergeCell ref="C105:D105"/>
    <mergeCell ref="A108:D108"/>
    <mergeCell ref="A109:A110"/>
    <mergeCell ref="I73:L73"/>
    <mergeCell ref="F82:F83"/>
    <mergeCell ref="A82:D82"/>
    <mergeCell ref="A80:A81"/>
    <mergeCell ref="I112:L112"/>
    <mergeCell ref="I94:L94"/>
    <mergeCell ref="I95:J95"/>
    <mergeCell ref="I118:L118"/>
    <mergeCell ref="I113:J113"/>
    <mergeCell ref="K113:L113"/>
    <mergeCell ref="I100:L100"/>
    <mergeCell ref="I90:L90"/>
    <mergeCell ref="I13:L13"/>
    <mergeCell ref="I14:J14"/>
    <mergeCell ref="K14:L14"/>
    <mergeCell ref="I18:J18"/>
    <mergeCell ref="K39:L39"/>
    <mergeCell ref="I40:L40"/>
    <mergeCell ref="I41:J41"/>
    <mergeCell ref="K41:L41"/>
    <mergeCell ref="I19:L19"/>
    <mergeCell ref="I20:L20"/>
    <mergeCell ref="I21:L21"/>
    <mergeCell ref="I101:L101"/>
    <mergeCell ref="I102:L102"/>
    <mergeCell ref="I99:L99"/>
    <mergeCell ref="K33:L33"/>
    <mergeCell ref="I38:L38"/>
    <mergeCell ref="I44:L44"/>
    <mergeCell ref="I45:J45"/>
    <mergeCell ref="K45:L45"/>
    <mergeCell ref="U1:V1"/>
    <mergeCell ref="U2:V2"/>
    <mergeCell ref="Z7:AA7"/>
    <mergeCell ref="Z8:AA8"/>
    <mergeCell ref="Z9:AA9"/>
    <mergeCell ref="Z10:AA10"/>
    <mergeCell ref="Z11:AA11"/>
    <mergeCell ref="Z12:AA12"/>
    <mergeCell ref="Z13:AA13"/>
    <mergeCell ref="Y11:Y12"/>
    <mergeCell ref="Y13:Y14"/>
    <mergeCell ref="Z14:AA14"/>
    <mergeCell ref="W5:W6"/>
    <mergeCell ref="X5:X6"/>
    <mergeCell ref="Y5:Y6"/>
    <mergeCell ref="Z5:AA6"/>
    <mergeCell ref="Y9:Y10"/>
    <mergeCell ref="Y7:Y8"/>
    <mergeCell ref="R30:T30"/>
    <mergeCell ref="R25:T25"/>
    <mergeCell ref="N29:Q29"/>
    <mergeCell ref="N30:Q30"/>
    <mergeCell ref="Z17:AA17"/>
    <mergeCell ref="Z18:AA18"/>
    <mergeCell ref="R11:R12"/>
    <mergeCell ref="R13:R14"/>
    <mergeCell ref="R15:R16"/>
    <mergeCell ref="R17:R18"/>
    <mergeCell ref="O20:R20"/>
    <mergeCell ref="N21:Q21"/>
    <mergeCell ref="N22:Q22"/>
    <mergeCell ref="R21:T21"/>
    <mergeCell ref="R22:T22"/>
    <mergeCell ref="Y17:Y18"/>
    <mergeCell ref="N11:N12"/>
    <mergeCell ref="N13:N14"/>
    <mergeCell ref="N15:N16"/>
    <mergeCell ref="N17:N18"/>
    <mergeCell ref="Z15:AA15"/>
    <mergeCell ref="Y15:Y16"/>
    <mergeCell ref="Z16:AA16"/>
    <mergeCell ref="R29:T29"/>
    <mergeCell ref="R32:T32"/>
    <mergeCell ref="N23:Q23"/>
    <mergeCell ref="N24:Q24"/>
    <mergeCell ref="N25:Q25"/>
    <mergeCell ref="N26:Q26"/>
    <mergeCell ref="C130:D130"/>
    <mergeCell ref="E134:E135"/>
    <mergeCell ref="F134:F135"/>
    <mergeCell ref="H134:J134"/>
    <mergeCell ref="I135:J135"/>
    <mergeCell ref="K135:L135"/>
    <mergeCell ref="I125:L125"/>
    <mergeCell ref="I126:L126"/>
    <mergeCell ref="K55:K56"/>
    <mergeCell ref="K81:K82"/>
    <mergeCell ref="K107:K108"/>
    <mergeCell ref="K133:K134"/>
    <mergeCell ref="C120:D120"/>
    <mergeCell ref="N27:Q27"/>
    <mergeCell ref="N28:Q28"/>
    <mergeCell ref="N31:Q31"/>
    <mergeCell ref="C102:D102"/>
    <mergeCell ref="R23:T23"/>
    <mergeCell ref="R31:T31"/>
    <mergeCell ref="I142:L142"/>
    <mergeCell ref="I143:J143"/>
    <mergeCell ref="K143:L143"/>
    <mergeCell ref="I144:L144"/>
    <mergeCell ref="C153:D153"/>
    <mergeCell ref="I139:J139"/>
    <mergeCell ref="E140:G140"/>
    <mergeCell ref="I153:L153"/>
    <mergeCell ref="I154:L154"/>
    <mergeCell ref="C113:D113"/>
    <mergeCell ref="C139:D139"/>
    <mergeCell ref="C157:D157"/>
    <mergeCell ref="C156:D156"/>
    <mergeCell ref="K145:L145"/>
    <mergeCell ref="C146:D146"/>
    <mergeCell ref="I146:L146"/>
    <mergeCell ref="I147:J147"/>
    <mergeCell ref="K147:L147"/>
    <mergeCell ref="I148:L148"/>
    <mergeCell ref="I149:J149"/>
    <mergeCell ref="K149:L149"/>
    <mergeCell ref="I150:L150"/>
    <mergeCell ref="I151:L151"/>
    <mergeCell ref="I152:L152"/>
    <mergeCell ref="F154:H154"/>
    <mergeCell ref="F153:H153"/>
    <mergeCell ref="I145:J145"/>
    <mergeCell ref="E156:F156"/>
    <mergeCell ref="C154:D154"/>
    <mergeCell ref="K139:L139"/>
    <mergeCell ref="I140:L140"/>
    <mergeCell ref="I141:J141"/>
    <mergeCell ref="K141:L141"/>
  </mergeCells>
  <conditionalFormatting sqref="C9">
    <cfRule type="containsErrors" dxfId="395" priority="131">
      <formula>ISERROR(C9)</formula>
    </cfRule>
  </conditionalFormatting>
  <conditionalFormatting sqref="C22:C23">
    <cfRule type="containsErrors" dxfId="394" priority="157">
      <formula>ISERROR(C22)</formula>
    </cfRule>
  </conditionalFormatting>
  <conditionalFormatting sqref="C49:C50">
    <cfRule type="containsErrors" dxfId="393" priority="152">
      <formula>ISERROR(C49)</formula>
    </cfRule>
  </conditionalFormatting>
  <conditionalFormatting sqref="C75:C76">
    <cfRule type="containsErrors" dxfId="392" priority="148">
      <formula>ISERROR(C75)</formula>
    </cfRule>
  </conditionalFormatting>
  <conditionalFormatting sqref="C101:C102">
    <cfRule type="containsErrors" dxfId="391" priority="144">
      <formula>ISERROR(C101)</formula>
    </cfRule>
  </conditionalFormatting>
  <conditionalFormatting sqref="C127:C128">
    <cfRule type="containsErrors" dxfId="390" priority="140">
      <formula>ISERROR(C127)</formula>
    </cfRule>
  </conditionalFormatting>
  <conditionalFormatting sqref="C153:C154">
    <cfRule type="containsErrors" dxfId="389" priority="136">
      <formula>ISERROR(C153)</formula>
    </cfRule>
  </conditionalFormatting>
  <conditionalFormatting sqref="C9:D9">
    <cfRule type="cellIs" dxfId="388" priority="117" operator="equal">
      <formula>0</formula>
    </cfRule>
  </conditionalFormatting>
  <conditionalFormatting sqref="C9:D32 C36:D58 C62:D84 C88:D110 C114:D136 C140:D140">
    <cfRule type="containsText" dxfId="387" priority="124" operator="containsText" text="YANLIŞ">
      <formula>NOT(ISERROR(SEARCH("YANLIŞ",C9)))</formula>
    </cfRule>
  </conditionalFormatting>
  <conditionalFormatting sqref="C9:D32 C36:D58 C62:D84 C88:D110 C114:D136 C140:D156">
    <cfRule type="containsErrors" dxfId="386" priority="2">
      <formula>ISERROR(C9)</formula>
    </cfRule>
  </conditionalFormatting>
  <conditionalFormatting sqref="C16:D16">
    <cfRule type="cellIs" dxfId="385" priority="15" operator="equal">
      <formula>0</formula>
    </cfRule>
  </conditionalFormatting>
  <conditionalFormatting sqref="C19:D19">
    <cfRule type="cellIs" dxfId="384" priority="14" operator="equal">
      <formula>0</formula>
    </cfRule>
  </conditionalFormatting>
  <conditionalFormatting sqref="C25:D25">
    <cfRule type="cellIs" dxfId="383" priority="1" operator="equal">
      <formula>0</formula>
    </cfRule>
  </conditionalFormatting>
  <conditionalFormatting sqref="C36:D36">
    <cfRule type="cellIs" dxfId="382" priority="116" operator="equal">
      <formula>0</formula>
    </cfRule>
  </conditionalFormatting>
  <conditionalFormatting sqref="C43:D43">
    <cfRule type="cellIs" dxfId="381" priority="13" operator="equal">
      <formula>0</formula>
    </cfRule>
  </conditionalFormatting>
  <conditionalFormatting sqref="C46:D46">
    <cfRule type="cellIs" dxfId="380" priority="12" operator="equal">
      <formula>0</formula>
    </cfRule>
  </conditionalFormatting>
  <conditionalFormatting sqref="C52:D52">
    <cfRule type="cellIs" dxfId="379" priority="62" operator="equal">
      <formula>0</formula>
    </cfRule>
  </conditionalFormatting>
  <conditionalFormatting sqref="C62:D62">
    <cfRule type="cellIs" dxfId="378" priority="115" operator="equal">
      <formula>0</formula>
    </cfRule>
  </conditionalFormatting>
  <conditionalFormatting sqref="C69:D69">
    <cfRule type="cellIs" dxfId="377" priority="11" operator="equal">
      <formula>0</formula>
    </cfRule>
  </conditionalFormatting>
  <conditionalFormatting sqref="C72:D72">
    <cfRule type="cellIs" dxfId="376" priority="10" operator="equal">
      <formula>0</formula>
    </cfRule>
  </conditionalFormatting>
  <conditionalFormatting sqref="C78:D78">
    <cfRule type="cellIs" dxfId="375" priority="50" operator="equal">
      <formula>0</formula>
    </cfRule>
  </conditionalFormatting>
  <conditionalFormatting sqref="C88:D88">
    <cfRule type="cellIs" dxfId="374" priority="114" operator="equal">
      <formula>0</formula>
    </cfRule>
  </conditionalFormatting>
  <conditionalFormatting sqref="C95:D95">
    <cfRule type="cellIs" dxfId="373" priority="9" operator="equal">
      <formula>0</formula>
    </cfRule>
  </conditionalFormatting>
  <conditionalFormatting sqref="C98:D98">
    <cfRule type="cellIs" dxfId="372" priority="8" operator="equal">
      <formula>0</formula>
    </cfRule>
  </conditionalFormatting>
  <conditionalFormatting sqref="C104:D104">
    <cfRule type="cellIs" dxfId="371" priority="49" operator="equal">
      <formula>0</formula>
    </cfRule>
  </conditionalFormatting>
  <conditionalFormatting sqref="C114:D114">
    <cfRule type="cellIs" dxfId="370" priority="113" operator="equal">
      <formula>0</formula>
    </cfRule>
  </conditionalFormatting>
  <conditionalFormatting sqref="C121:D121">
    <cfRule type="cellIs" dxfId="369" priority="7" operator="equal">
      <formula>0</formula>
    </cfRule>
  </conditionalFormatting>
  <conditionalFormatting sqref="C124:D124">
    <cfRule type="cellIs" dxfId="368" priority="6" operator="equal">
      <formula>0</formula>
    </cfRule>
  </conditionalFormatting>
  <conditionalFormatting sqref="C130:D130">
    <cfRule type="cellIs" dxfId="367" priority="48" operator="equal">
      <formula>0</formula>
    </cfRule>
  </conditionalFormatting>
  <conditionalFormatting sqref="C140:D140">
    <cfRule type="cellIs" dxfId="366" priority="112" operator="equal">
      <formula>0</formula>
    </cfRule>
  </conditionalFormatting>
  <conditionalFormatting sqref="C147:D147">
    <cfRule type="cellIs" dxfId="365" priority="5" operator="equal">
      <formula>0</formula>
    </cfRule>
  </conditionalFormatting>
  <conditionalFormatting sqref="C150:D150">
    <cfRule type="cellIs" priority="4" operator="equal">
      <formula>0</formula>
    </cfRule>
    <cfRule type="cellIs" dxfId="364" priority="3" operator="equal">
      <formula>0</formula>
    </cfRule>
  </conditionalFormatting>
  <conditionalFormatting sqref="C156:D156">
    <cfRule type="cellIs" dxfId="363" priority="47" operator="equal">
      <formula>0</formula>
    </cfRule>
  </conditionalFormatting>
  <conditionalFormatting sqref="C220:D220">
    <cfRule type="cellIs" dxfId="362" priority="134" operator="equal">
      <formula>$B$248</formula>
    </cfRule>
  </conditionalFormatting>
  <conditionalFormatting sqref="E10:F10">
    <cfRule type="containsErrors" dxfId="361" priority="158">
      <formula>ISERROR(E10)</formula>
    </cfRule>
  </conditionalFormatting>
  <conditionalFormatting sqref="E12:F12">
    <cfRule type="containsErrors" dxfId="360" priority="159">
      <formula>ISERROR(E12)</formula>
    </cfRule>
  </conditionalFormatting>
  <conditionalFormatting sqref="E16:F16">
    <cfRule type="containsErrors" dxfId="359" priority="156">
      <formula>ISERROR(E16)</formula>
    </cfRule>
  </conditionalFormatting>
  <conditionalFormatting sqref="E37:F37">
    <cfRule type="containsErrors" dxfId="358" priority="153">
      <formula>ISERROR(E37)</formula>
    </cfRule>
  </conditionalFormatting>
  <conditionalFormatting sqref="E39:F39">
    <cfRule type="containsErrors" dxfId="357" priority="154">
      <formula>ISERROR(E39)</formula>
    </cfRule>
  </conditionalFormatting>
  <conditionalFormatting sqref="E43:F43">
    <cfRule type="containsErrors" dxfId="356" priority="151">
      <formula>ISERROR(E43)</formula>
    </cfRule>
  </conditionalFormatting>
  <conditionalFormatting sqref="E63:F63">
    <cfRule type="containsErrors" dxfId="355" priority="149">
      <formula>ISERROR(E63)</formula>
    </cfRule>
  </conditionalFormatting>
  <conditionalFormatting sqref="E65:F65">
    <cfRule type="containsErrors" dxfId="354" priority="150">
      <formula>ISERROR(E65)</formula>
    </cfRule>
  </conditionalFormatting>
  <conditionalFormatting sqref="E69:F69">
    <cfRule type="containsErrors" dxfId="353" priority="147">
      <formula>ISERROR(E69)</formula>
    </cfRule>
  </conditionalFormatting>
  <conditionalFormatting sqref="E89:F89">
    <cfRule type="containsErrors" dxfId="352" priority="145">
      <formula>ISERROR(E89)</formula>
    </cfRule>
  </conditionalFormatting>
  <conditionalFormatting sqref="E91:F91">
    <cfRule type="containsErrors" dxfId="351" priority="146">
      <formula>ISERROR(E91)</formula>
    </cfRule>
  </conditionalFormatting>
  <conditionalFormatting sqref="E95:F95">
    <cfRule type="containsErrors" dxfId="350" priority="143">
      <formula>ISERROR(E95)</formula>
    </cfRule>
  </conditionalFormatting>
  <conditionalFormatting sqref="E115:F115">
    <cfRule type="containsErrors" dxfId="349" priority="141">
      <formula>ISERROR(E115)</formula>
    </cfRule>
  </conditionalFormatting>
  <conditionalFormatting sqref="E117:F117">
    <cfRule type="containsErrors" dxfId="348" priority="142">
      <formula>ISERROR(E117)</formula>
    </cfRule>
  </conditionalFormatting>
  <conditionalFormatting sqref="E121:F121">
    <cfRule type="containsErrors" dxfId="347" priority="139">
      <formula>ISERROR(E121)</formula>
    </cfRule>
  </conditionalFormatting>
  <conditionalFormatting sqref="E141:F141">
    <cfRule type="containsErrors" dxfId="346" priority="137">
      <formula>ISERROR(E141)</formula>
    </cfRule>
  </conditionalFormatting>
  <conditionalFormatting sqref="E143:F143">
    <cfRule type="containsErrors" dxfId="345" priority="138">
      <formula>ISERROR(E143)</formula>
    </cfRule>
  </conditionalFormatting>
  <conditionalFormatting sqref="E147:F147">
    <cfRule type="containsErrors" dxfId="344" priority="135">
      <formula>ISERROR(E147)</formula>
    </cfRule>
  </conditionalFormatting>
  <conditionalFormatting sqref="G13">
    <cfRule type="containsErrors" dxfId="343" priority="61">
      <formula>ISERROR(G13)</formula>
    </cfRule>
  </conditionalFormatting>
  <conditionalFormatting sqref="I119:J119">
    <cfRule type="containsErrors" dxfId="342" priority="104">
      <formula>ISERROR(I119)</formula>
    </cfRule>
    <cfRule type="containsText" dxfId="341" priority="103" operator="containsText" text="YANLIŞ">
      <formula>NOT(ISERROR(SEARCH("YANLIŞ",I119)))</formula>
    </cfRule>
  </conditionalFormatting>
  <conditionalFormatting sqref="I12:L12">
    <cfRule type="containsErrors" dxfId="340" priority="92">
      <formula>ISERROR(I12)</formula>
    </cfRule>
    <cfRule type="containsText" dxfId="339" priority="91" operator="containsText" text="YANLIŞ">
      <formula>NOT(ISERROR(SEARCH("YANLIŞ",I12)))</formula>
    </cfRule>
  </conditionalFormatting>
  <conditionalFormatting sqref="I39:L39">
    <cfRule type="containsErrors" dxfId="338" priority="90">
      <formula>ISERROR(I39)</formula>
    </cfRule>
    <cfRule type="containsText" dxfId="337" priority="89" operator="containsText" text="YANLIŞ">
      <formula>NOT(ISERROR(SEARCH("YANLIŞ",I39)))</formula>
    </cfRule>
  </conditionalFormatting>
  <conditionalFormatting sqref="I65:L65">
    <cfRule type="containsErrors" dxfId="336" priority="88">
      <formula>ISERROR(I65)</formula>
    </cfRule>
    <cfRule type="containsText" dxfId="335" priority="87" operator="containsText" text="YANLIŞ">
      <formula>NOT(ISERROR(SEARCH("YANLIŞ",I65)))</formula>
    </cfRule>
  </conditionalFormatting>
  <conditionalFormatting sqref="I91:L91">
    <cfRule type="containsErrors" dxfId="334" priority="86">
      <formula>ISERROR(I91)</formula>
    </cfRule>
    <cfRule type="containsText" dxfId="333" priority="85" operator="containsText" text="YANLIŞ">
      <formula>NOT(ISERROR(SEARCH("YANLIŞ",I91)))</formula>
    </cfRule>
  </conditionalFormatting>
  <conditionalFormatting sqref="I117:L117">
    <cfRule type="containsErrors" dxfId="332" priority="84">
      <formula>ISERROR(I117)</formula>
    </cfRule>
    <cfRule type="containsText" dxfId="331" priority="83" operator="containsText" text="YANLIŞ">
      <formula>NOT(ISERROR(SEARCH("YANLIŞ",I117)))</formula>
    </cfRule>
  </conditionalFormatting>
  <conditionalFormatting sqref="I143:L143">
    <cfRule type="containsText" dxfId="330" priority="81" operator="containsText" text="YANLIŞ">
      <formula>NOT(ISERROR(SEARCH("YANLIŞ",I143)))</formula>
    </cfRule>
    <cfRule type="containsErrors" dxfId="329" priority="82">
      <formula>ISERROR(I143)</formula>
    </cfRule>
  </conditionalFormatting>
  <conditionalFormatting sqref="J220">
    <cfRule type="expression" priority="133">
      <formula>$H$220</formula>
    </cfRule>
  </conditionalFormatting>
  <conditionalFormatting sqref="T7:U18">
    <cfRule type="containsErrors" dxfId="328" priority="160">
      <formula>ISERROR(T7)</formula>
    </cfRule>
  </conditionalFormatting>
  <conditionalFormatting sqref="W7:W18">
    <cfRule type="containsErrors" dxfId="327" priority="162">
      <formula>ISERROR(W7)</formula>
    </cfRule>
  </conditionalFormatting>
  <conditionalFormatting sqref="Y7:Y18">
    <cfRule type="containsErrors" dxfId="326" priority="161">
      <formula>ISERROR(Y7)</formula>
    </cfRule>
    <cfRule type="cellIs" dxfId="325" priority="37" operator="equal">
      <formula>0</formula>
    </cfRule>
  </conditionalFormatting>
  <pageMargins left="0.70866141732283472" right="0.70866141732283472" top="0.74803149606299213" bottom="0.74803149606299213" header="0.31496062992125984" footer="0.31496062992125984"/>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32" r:id="rId5" name="Drop Down 8">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33" r:id="rId6" name="Drop Down 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38" r:id="rId7" name="Drop Down 1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41" r:id="rId8" name="Drop Down 1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43" r:id="rId9" name="Drop Down 19">
              <controlPr defaultSize="0" autoLine="0" autoPict="0">
                <anchor moveWithCells="1">
                  <from>
                    <xdr:col>4</xdr:col>
                    <xdr:colOff>28575</xdr:colOff>
                    <xdr:row>197</xdr:row>
                    <xdr:rowOff>0</xdr:rowOff>
                  </from>
                  <to>
                    <xdr:col>7</xdr:col>
                    <xdr:colOff>0</xdr:colOff>
                    <xdr:row>272</xdr:row>
                    <xdr:rowOff>0</xdr:rowOff>
                  </to>
                </anchor>
              </controlPr>
            </control>
          </mc:Choice>
        </mc:AlternateContent>
        <mc:AlternateContent xmlns:mc="http://schemas.openxmlformats.org/markup-compatibility/2006">
          <mc:Choice Requires="x14">
            <control shapeId="1044" r:id="rId10" name="Drop Down 20">
              <controlPr locked="0" defaultSize="0" autoLine="0" autoPict="0">
                <anchor moveWithCells="1">
                  <from>
                    <xdr:col>4</xdr:col>
                    <xdr:colOff>28575</xdr:colOff>
                    <xdr:row>197</xdr:row>
                    <xdr:rowOff>0</xdr:rowOff>
                  </from>
                  <to>
                    <xdr:col>7</xdr:col>
                    <xdr:colOff>0</xdr:colOff>
                    <xdr:row>272</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9</xdr:col>
                    <xdr:colOff>19050</xdr:colOff>
                    <xdr:row>203</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46" r:id="rId12" name="Drop Down 2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47" r:id="rId13" name="Drop Down 23">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48" r:id="rId14" name="Drop Down 2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49" r:id="rId15" name="Drop Down 2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50" r:id="rId16" name="Drop Down 26">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57" r:id="rId17" name="Drop Down 3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56" r:id="rId18" name="Drop Down 3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55" r:id="rId19" name="Drop Down 3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54" r:id="rId20" name="Drop Down 3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53" r:id="rId21" name="Drop Down 2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62" r:id="rId22" name="Drop Down -102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61" r:id="rId23" name="Drop Down -1021">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60" r:id="rId24" name="Drop Down -1020">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59" r:id="rId25" name="Drop Down -1019">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58" r:id="rId26" name="Drop Down -1018">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67" r:id="rId27" name="Drop Down 4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66" r:id="rId28" name="Drop Down 4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65" r:id="rId29" name="Drop Down 4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64" r:id="rId30" name="Drop Down 4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63" r:id="rId31" name="Drop Down 3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72" r:id="rId32" name="Drop Down 4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71" r:id="rId33" name="Drop Down 4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70" r:id="rId34" name="Drop Down 4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69" r:id="rId35" name="Drop Down 4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68" r:id="rId36" name="Drop Down 4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77" r:id="rId37" name="Drop Down 5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76" r:id="rId38" name="Drop Down 5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75" r:id="rId39" name="Drop Down 5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74" r:id="rId40" name="Drop Down 5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73" r:id="rId41" name="Drop Down 4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82" r:id="rId42" name="Drop Down 5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81" r:id="rId43" name="Drop Down 5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80" r:id="rId44" name="Drop Down 5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79" r:id="rId45" name="Drop Down 5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78" r:id="rId46" name="Drop Down 5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87" r:id="rId47" name="Drop Down 6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86" r:id="rId48" name="Drop Down 6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85" r:id="rId49" name="Drop Down 6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84" r:id="rId50" name="Drop Down 6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83" r:id="rId51" name="Drop Down 5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92" r:id="rId52" name="Drop Down -101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91" r:id="rId53" name="Drop Down -101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90" r:id="rId54" name="Drop Down -101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89" r:id="rId55" name="Drop Down -101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88" r:id="rId56" name="Drop Down -101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97" r:id="rId57" name="Drop Down 7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96" r:id="rId58" name="Drop Down 7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95" r:id="rId59" name="Drop Down 7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94" r:id="rId60" name="Drop Down 7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93" r:id="rId61" name="Drop Down 6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02" r:id="rId62" name="Drop Down 7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01" r:id="rId63" name="Drop Down 7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00" r:id="rId64" name="Drop Down 7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99" r:id="rId65" name="Drop Down 7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98" r:id="rId66" name="Drop Down 7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07" r:id="rId67" name="Drop Down 8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06" r:id="rId68" name="Drop Down 8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05" r:id="rId69" name="Drop Down 8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04" r:id="rId70" name="Drop Down 8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03" r:id="rId71" name="Drop Down 7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12" r:id="rId72" name="Drop Down 8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11" r:id="rId73" name="Drop Down 8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10" r:id="rId74" name="Drop Down 8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09" r:id="rId75" name="Drop Down 8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08" r:id="rId76" name="Drop Down 8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17" r:id="rId77" name="Drop Down 9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16" r:id="rId78" name="Drop Down 9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15" r:id="rId79" name="Drop Down 9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14" r:id="rId80" name="Drop Down 9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13" r:id="rId81" name="Drop Down 8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22" r:id="rId82" name="Drop Down 9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21" r:id="rId83" name="Drop Down 9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20" r:id="rId84" name="Drop Down 9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19" r:id="rId85" name="Drop Down 9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18" r:id="rId86" name="Drop Down 9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27" r:id="rId87" name="Drop Down 10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26" r:id="rId88" name="Drop Down 10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25" r:id="rId89" name="Drop Down 10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24" r:id="rId90" name="Drop Down 10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23" r:id="rId91" name="Drop Down 9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32" r:id="rId92" name="Drop Down 10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31" r:id="rId93" name="Drop Down 10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30" r:id="rId94" name="Drop Down 10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29" r:id="rId95" name="Drop Down 10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28" r:id="rId96" name="Drop Down 10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37" r:id="rId97" name="Drop Down 11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36" r:id="rId98" name="Drop Down 11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35" r:id="rId99" name="Drop Down 11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34" r:id="rId100" name="Drop Down 11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33" r:id="rId101" name="Drop Down 10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42" r:id="rId102" name="Drop Down 11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41" r:id="rId103" name="Drop Down 11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40" r:id="rId104" name="Drop Down 11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39" r:id="rId105" name="Drop Down 11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38" r:id="rId106" name="Drop Down 11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47" r:id="rId107" name="Drop Down 12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46" r:id="rId108" name="Drop Down 12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45" r:id="rId109" name="Drop Down 12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44" r:id="rId110" name="Drop Down 12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43" r:id="rId111" name="Drop Down 11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52" r:id="rId112" name="Drop Down 12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51" r:id="rId113" name="Drop Down 12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50" r:id="rId114" name="Drop Down 12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49" r:id="rId115" name="Drop Down 12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48" r:id="rId116" name="Drop Down 12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57" r:id="rId117" name="Drop Down 13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56" r:id="rId118" name="Drop Down 13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55" r:id="rId119" name="Drop Down 13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54" r:id="rId120" name="Drop Down 13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53" r:id="rId121" name="Drop Down 12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67" r:id="rId122" name="Drop Down 14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66" r:id="rId123" name="Drop Down 14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65" r:id="rId124" name="Drop Down 14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64" r:id="rId125" name="Drop Down 14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63" r:id="rId126" name="Drop Down 13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62" r:id="rId127" name="Drop Down 13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61" r:id="rId128" name="Drop Down 13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60" r:id="rId129" name="Drop Down 13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59" r:id="rId130" name="Drop Down 13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58" r:id="rId131" name="Drop Down 13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72" r:id="rId132" name="Drop Down 14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71" r:id="rId133" name="Drop Down 14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70" r:id="rId134" name="Drop Down 14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69" r:id="rId135" name="Drop Down 14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68" r:id="rId136" name="Drop Down 14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77" r:id="rId137" name="Drop Down 15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76" r:id="rId138" name="Drop Down 15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75" r:id="rId139" name="Drop Down 15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74" r:id="rId140" name="Drop Down 15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73" r:id="rId141" name="Drop Down 14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82" r:id="rId142" name="Drop Down 15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81" r:id="rId143" name="Drop Down 15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80" r:id="rId144" name="Drop Down 15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79" r:id="rId145" name="Drop Down 15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78" r:id="rId146" name="Drop Down 15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87" r:id="rId147" name="Drop Down 16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86" r:id="rId148" name="Drop Down 16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85" r:id="rId149" name="Drop Down 16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84" r:id="rId150" name="Drop Down 16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83" r:id="rId151" name="Drop Down 15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92" r:id="rId152" name="Drop Down 16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91" r:id="rId153" name="Drop Down 16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90" r:id="rId154" name="Drop Down 16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89" r:id="rId155" name="Drop Down 16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88" r:id="rId156" name="Drop Down 16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97" r:id="rId157" name="Drop Down 17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96" r:id="rId158" name="Drop Down 17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95" r:id="rId159" name="Drop Down 17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94" r:id="rId160" name="Drop Down 17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93" r:id="rId161" name="Drop Down 16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02" r:id="rId162" name="Drop Down 17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01" r:id="rId163" name="Drop Down 17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00" r:id="rId164" name="Drop Down 17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99" r:id="rId165" name="Drop Down 17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98" r:id="rId166" name="Drop Down 17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07" r:id="rId167" name="Drop Down 18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06" r:id="rId168" name="Drop Down 18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05" r:id="rId169" name="Drop Down 18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04" r:id="rId170" name="Drop Down 18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03" r:id="rId171" name="Drop Down 17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12" r:id="rId172" name="Drop Down 18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11" r:id="rId173" name="Drop Down 18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10" r:id="rId174" name="Drop Down 18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09" r:id="rId175" name="Drop Down 18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08" r:id="rId176" name="Drop Down 18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17" r:id="rId177" name="Drop Down 19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16" r:id="rId178" name="Drop Down 19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15" r:id="rId179" name="Drop Down 19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14" r:id="rId180" name="Drop Down 19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13" r:id="rId181" name="Drop Down 18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22" r:id="rId182" name="Drop Down 19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21" r:id="rId183" name="Drop Down 19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20" r:id="rId184" name="Drop Down 19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19" r:id="rId185" name="Drop Down 19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18" r:id="rId186" name="Drop Down 19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27" r:id="rId187" name="Drop Down 20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26" r:id="rId188" name="Drop Down 20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25" r:id="rId189" name="Drop Down 20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24" r:id="rId190" name="Drop Down 20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23" r:id="rId191" name="Drop Down 19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32" r:id="rId192" name="Drop Down 20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31" r:id="rId193" name="Drop Down 20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30" r:id="rId194" name="Drop Down 20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29" r:id="rId195" name="Drop Down 20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28" r:id="rId196" name="Drop Down 20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37" r:id="rId197" name="Drop Down 21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36" r:id="rId198" name="Drop Down 21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35" r:id="rId199" name="Drop Down 21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34" r:id="rId200" name="Drop Down 21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33" r:id="rId201" name="Drop Down 20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42" r:id="rId202" name="Drop Down 21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41" r:id="rId203" name="Drop Down 21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40" r:id="rId204" name="Drop Down 21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39" r:id="rId205" name="Drop Down 21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38" r:id="rId206" name="Drop Down 21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47" r:id="rId207" name="Drop Down 22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46" r:id="rId208" name="Drop Down 22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45" r:id="rId209" name="Drop Down 22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44" r:id="rId210" name="Drop Down 22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43" r:id="rId211" name="Drop Down 21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52" r:id="rId212" name="Drop Down 22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51" r:id="rId213" name="Drop Down 22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50" r:id="rId214" name="Drop Down 22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49" r:id="rId215" name="Drop Down 22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48" r:id="rId216" name="Drop Down 22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57" r:id="rId217" name="Drop Down 23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56" r:id="rId218" name="Drop Down 23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55" r:id="rId219" name="Drop Down 23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54" r:id="rId220" name="Drop Down 23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53" r:id="rId221" name="Drop Down 22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62" r:id="rId222" name="Drop Down 23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61" r:id="rId223" name="Drop Down 23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60" r:id="rId224" name="Drop Down 23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59" r:id="rId225" name="Drop Down 23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58" r:id="rId226" name="Drop Down 23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67" r:id="rId227" name="Drop Down 24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66" r:id="rId228" name="Drop Down 24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65" r:id="rId229" name="Drop Down 24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64" r:id="rId230" name="Drop Down 24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63" r:id="rId231" name="Drop Down 23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72" r:id="rId232" name="Drop Down 24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71" r:id="rId233" name="Drop Down 24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70" r:id="rId234" name="Drop Down 24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69" r:id="rId235" name="Drop Down 24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68" r:id="rId236" name="Drop Down 24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77" r:id="rId237" name="Drop Down 25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76" r:id="rId238" name="Drop Down 25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75" r:id="rId239" name="Drop Down 25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74" r:id="rId240" name="Drop Down 25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73" r:id="rId241" name="Drop Down 24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82" r:id="rId242" name="Drop Down 25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81" r:id="rId243" name="Drop Down 25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80" r:id="rId244" name="Drop Down 25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79" r:id="rId245" name="Drop Down 25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78" r:id="rId246" name="Drop Down 25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87" r:id="rId247" name="Drop Down 26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86" r:id="rId248" name="Drop Down 26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85" r:id="rId249" name="Drop Down 26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84" r:id="rId250" name="Drop Down 26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83" r:id="rId251" name="Drop Down 25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92" r:id="rId252" name="Drop Down 26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91" r:id="rId253" name="Drop Down 26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90" r:id="rId254" name="Drop Down 26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89" r:id="rId255" name="Drop Down 26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88" r:id="rId256" name="Drop Down 26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97" r:id="rId257" name="Drop Down 27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96" r:id="rId258" name="Drop Down 27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95" r:id="rId259" name="Drop Down 27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94" r:id="rId260" name="Drop Down 27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93" r:id="rId261" name="Drop Down 26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02" r:id="rId262" name="Drop Down 27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01" r:id="rId263" name="Drop Down 27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00" r:id="rId264" name="Drop Down 27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99" r:id="rId265" name="Drop Down 27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98" r:id="rId266" name="Drop Down 27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10" r:id="rId267" name="Drop Down 28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09" r:id="rId268" name="Drop Down 28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08" r:id="rId269" name="Drop Down 28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07" r:id="rId270" name="Drop Down 28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06" r:id="rId271" name="Drop Down 28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15" r:id="rId272" name="Drop Down 29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14" r:id="rId273" name="Drop Down 29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13" r:id="rId274" name="Drop Down 28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12" r:id="rId275" name="Drop Down 28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11" r:id="rId276" name="Drop Down 28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20" r:id="rId277" name="Drop Down 29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19" r:id="rId278" name="Drop Down 29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18" r:id="rId279" name="Drop Down 29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17" r:id="rId280" name="Drop Down 29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16" r:id="rId281" name="Drop Down 29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25" r:id="rId282" name="Drop Down 30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24" r:id="rId283" name="Drop Down 30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23" r:id="rId284" name="Drop Down 29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22" r:id="rId285" name="Drop Down 29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21" r:id="rId286" name="Drop Down 29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35" r:id="rId287" name="Drop Down 31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34" r:id="rId288" name="Drop Down 31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33" r:id="rId289" name="Drop Down 30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32" r:id="rId290" name="Drop Down 30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31" r:id="rId291" name="Drop Down 30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30" r:id="rId292" name="Drop Down 30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29" r:id="rId293" name="Drop Down 30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28" r:id="rId294" name="Drop Down 30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27" r:id="rId295" name="Drop Down 30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26" r:id="rId296" name="Drop Down 30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40" r:id="rId297" name="Drop Down 31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39" r:id="rId298" name="Drop Down 31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38" r:id="rId299" name="Drop Down 31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37" r:id="rId300" name="Drop Down 31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36" r:id="rId301" name="Drop Down 31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45" r:id="rId302" name="Drop Down 32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44" r:id="rId303" name="Drop Down 32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43" r:id="rId304" name="Drop Down 31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42" r:id="rId305" name="Drop Down 31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41" r:id="rId306" name="Drop Down 31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50" r:id="rId307" name="Drop Down 32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49" r:id="rId308" name="Drop Down 32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48" r:id="rId309" name="Drop Down 32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47" r:id="rId310" name="Drop Down 32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46" r:id="rId311" name="Drop Down 32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60" r:id="rId312" name="Drop Down 33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59" r:id="rId313" name="Drop Down 33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58" r:id="rId314" name="Drop Down 33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57" r:id="rId315" name="Drop Down 33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56" r:id="rId316" name="Drop Down 33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55" r:id="rId317" name="Drop Down 33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54" r:id="rId318" name="Drop Down 33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53" r:id="rId319" name="Drop Down 32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52" r:id="rId320" name="Drop Down 32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51" r:id="rId321" name="Drop Down 32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65" r:id="rId322" name="Drop Down 34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64" r:id="rId323" name="Drop Down 34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63" r:id="rId324" name="Drop Down 33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62" r:id="rId325" name="Drop Down 33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61" r:id="rId326" name="Drop Down 33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70" r:id="rId327" name="Drop Down 34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69" r:id="rId328" name="Drop Down 34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68" r:id="rId329" name="Drop Down 34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67" r:id="rId330" name="Drop Down 34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66" r:id="rId331" name="Drop Down 34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75" r:id="rId332" name="Drop Down 35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74" r:id="rId333" name="Drop Down 35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73" r:id="rId334" name="Drop Down 34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72" r:id="rId335" name="Drop Down 34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71" r:id="rId336" name="Drop Down 34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80" r:id="rId337" name="Drop Down 35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79" r:id="rId338" name="Drop Down 35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78" r:id="rId339" name="Drop Down 35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77" r:id="rId340" name="Drop Down 35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76" r:id="rId341" name="Drop Down 35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85" r:id="rId342" name="Drop Down 36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84" r:id="rId343" name="Drop Down 36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83" r:id="rId344" name="Drop Down 35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82" r:id="rId345" name="Drop Down 35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81" r:id="rId346" name="Drop Down 35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90" r:id="rId347" name="Drop Down 36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89" r:id="rId348" name="Drop Down 36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88" r:id="rId349" name="Drop Down 36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87" r:id="rId350" name="Drop Down 36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86" r:id="rId351" name="Drop Down 36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95" r:id="rId352" name="Drop Down 37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94" r:id="rId353" name="Drop Down 37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93" r:id="rId354" name="Drop Down 36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92" r:id="rId355" name="Drop Down 36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91" r:id="rId356" name="Drop Down 36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00" r:id="rId357" name="Drop Down 37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99" r:id="rId358" name="Drop Down 37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98" r:id="rId359" name="Drop Down 37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97" r:id="rId360" name="Drop Down 37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96" r:id="rId361" name="Drop Down 37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05" r:id="rId362" name="Drop Down 38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04" r:id="rId363" name="Drop Down 38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03" r:id="rId364" name="Drop Down 37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02" r:id="rId365" name="Drop Down 37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01" r:id="rId366" name="Drop Down 37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10" r:id="rId367" name="Drop Down 38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09" r:id="rId368" name="Drop Down 38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08" r:id="rId369" name="Drop Down 38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07" r:id="rId370" name="Drop Down 38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06" r:id="rId371" name="Drop Down 38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15" r:id="rId372" name="Drop Down 39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14" r:id="rId373" name="Drop Down 39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13" r:id="rId374" name="Drop Down 38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12" r:id="rId375" name="Drop Down 38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11" r:id="rId376" name="Drop Down 38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20" r:id="rId377" name="Drop Down 39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19" r:id="rId378" name="Drop Down 39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18" r:id="rId379" name="Drop Down 39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17" r:id="rId380" name="Drop Down 39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16" r:id="rId381" name="Drop Down 39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25" r:id="rId382" name="Drop Down 40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24" r:id="rId383" name="Drop Down 40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23" r:id="rId384" name="Drop Down 39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22" r:id="rId385" name="Drop Down 39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21" r:id="rId386" name="Drop Down 39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30" r:id="rId387" name="Drop Down 40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29" r:id="rId388" name="Drop Down 40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28" r:id="rId389" name="Drop Down 40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27" r:id="rId390" name="Drop Down 40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26" r:id="rId391" name="Drop Down 40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35" r:id="rId392" name="Drop Down 41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34" r:id="rId393" name="Drop Down 41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33" r:id="rId394" name="Drop Down 40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32" r:id="rId395" name="Drop Down 40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31" r:id="rId396" name="Drop Down 40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40" r:id="rId397" name="Drop Down 41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39" r:id="rId398" name="Drop Down 41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38" r:id="rId399" name="Drop Down 41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37" r:id="rId400" name="Drop Down 41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36" r:id="rId401" name="Drop Down 41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45" r:id="rId402" name="Drop Down 42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44" r:id="rId403" name="Drop Down 42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43" r:id="rId404" name="Drop Down 41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42" r:id="rId405" name="Drop Down 41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41" r:id="rId406" name="Drop Down 41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50" r:id="rId407" name="Drop Down 42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49" r:id="rId408" name="Drop Down 42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48" r:id="rId409" name="Drop Down 42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47" r:id="rId410" name="Drop Down 42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46" r:id="rId411" name="Drop Down 42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56" r:id="rId412" name="Drop Down 43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55" r:id="rId413" name="Drop Down 43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54" r:id="rId414" name="Drop Down 43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53" r:id="rId415" name="Drop Down 42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52" r:id="rId416" name="Drop Down 42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51" r:id="rId417" name="Drop Down 42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62" r:id="rId418" name="Drop Down 43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61" r:id="rId419" name="Drop Down 43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60" r:id="rId420" name="Drop Down 43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59" r:id="rId421" name="Drop Down 43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58" r:id="rId422" name="Drop Down 43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57" r:id="rId423" name="Drop Down 43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68" r:id="rId424" name="Drop Down 44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67" r:id="rId425" name="Drop Down 44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66" r:id="rId426" name="Drop Down 44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65" r:id="rId427" name="Drop Down 44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64" r:id="rId428" name="Drop Down 44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63" r:id="rId429" name="Drop Down 43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74" r:id="rId430" name="Drop Down 45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73" r:id="rId431" name="Drop Down 44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72" r:id="rId432" name="Drop Down 448">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71" r:id="rId433" name="Drop Down 447">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70" r:id="rId434" name="Drop Down 446">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69" r:id="rId435" name="Drop Down 445">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80" r:id="rId436" name="Drop Down 45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79" r:id="rId437" name="Drop Down 45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78" r:id="rId438" name="Drop Down 454">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77" r:id="rId439" name="Drop Down 453">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76" r:id="rId440" name="Drop Down 452">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75" r:id="rId441" name="Drop Down 451">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86" r:id="rId442" name="Drop Down 46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85" r:id="rId443" name="Drop Down 46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84" r:id="rId444" name="Drop Down 46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83" r:id="rId445" name="Drop Down 45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82" r:id="rId446" name="Drop Down 45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81" r:id="rId447" name="Drop Down 45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92" r:id="rId448" name="Drop Down 46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91" r:id="rId449" name="Drop Down 46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90" r:id="rId450" name="Drop Down 46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89" r:id="rId451" name="Drop Down 46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88" r:id="rId452" name="Drop Down 46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87" r:id="rId453" name="Drop Down 46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98" r:id="rId454" name="Drop Down 47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97" r:id="rId455" name="Drop Down 47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96" r:id="rId456" name="Drop Down 47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95" r:id="rId457" name="Drop Down 47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94" r:id="rId458" name="Drop Down 47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93" r:id="rId459" name="Drop Down 46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04" r:id="rId460" name="Drop Down 48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03" r:id="rId461" name="Drop Down 47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02" r:id="rId462" name="Drop Down 478">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01" r:id="rId463" name="Drop Down 477">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00" r:id="rId464" name="Drop Down 476">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99" r:id="rId465" name="Drop Down 475">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10" r:id="rId466" name="Drop Down 48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09" r:id="rId467" name="Drop Down 48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08" r:id="rId468" name="Drop Down 484">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07" r:id="rId469" name="Drop Down 483">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06" r:id="rId470" name="Drop Down 482">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05" r:id="rId471" name="Drop Down 481">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17" r:id="rId472" name="Drop Down 49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16" r:id="rId473" name="Drop Down 49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15" r:id="rId474" name="Drop Down 491">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14" r:id="rId475" name="Drop Down 490">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13" r:id="rId476" name="Drop Down 489">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12" r:id="rId477" name="Drop Down 488">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23" r:id="rId478" name="Drop Down 49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22" r:id="rId479" name="Drop Down 49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21" r:id="rId480" name="Drop Down 49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20" r:id="rId481" name="Drop Down 49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19" r:id="rId482" name="Drop Down 49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18" r:id="rId483" name="Drop Down 49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29" r:id="rId484" name="Drop Down 50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28" r:id="rId485" name="Drop Down 50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27" r:id="rId486" name="Drop Down 503">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26" r:id="rId487" name="Drop Down 502">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25" r:id="rId488" name="Drop Down 501">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24" r:id="rId489" name="Drop Down 500">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35" r:id="rId490" name="Drop Down 51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34" r:id="rId491" name="Drop Down 51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33" r:id="rId492" name="Drop Down 509">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32" r:id="rId493" name="Drop Down 508">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31" r:id="rId494" name="Drop Down 507">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30" r:id="rId495" name="Drop Down 506">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41" r:id="rId496" name="Drop Down 51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40" r:id="rId497" name="Drop Down 51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39" r:id="rId498" name="Drop Down 51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38" r:id="rId499" name="Drop Down 51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37" r:id="rId500" name="Drop Down 51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36" r:id="rId501" name="Drop Down 51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47" r:id="rId502" name="Drop Down 52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46" r:id="rId503" name="Drop Down 52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45" r:id="rId504" name="Drop Down 521">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44" r:id="rId505" name="Drop Down 520">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43" r:id="rId506" name="Drop Down 519">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42" r:id="rId507" name="Drop Down 518">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53" r:id="rId508" name="Drop Down 52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52" r:id="rId509" name="Drop Down 52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51" r:id="rId510" name="Drop Down 52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50" r:id="rId511" name="Drop Down 52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49" r:id="rId512" name="Drop Down 52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48" r:id="rId513" name="Drop Down 52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59" r:id="rId514" name="Drop Down 53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58" r:id="rId515" name="Drop Down 53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57" r:id="rId516" name="Drop Down 533">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56" r:id="rId517" name="Drop Down 532">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55" r:id="rId518" name="Drop Down 531">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54" r:id="rId519" name="Drop Down 530">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66" r:id="rId520" name="Drop Down 54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65" r:id="rId521" name="Drop Down 54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64" r:id="rId522" name="Drop Down 54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63" r:id="rId523" name="Drop Down 539">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62" r:id="rId524" name="Drop Down 538">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61" r:id="rId525" name="Drop Down 537">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60" r:id="rId526" name="Drop Down 536">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72" r:id="rId527" name="Drop Down 54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71" r:id="rId528" name="Drop Down 54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70" r:id="rId529" name="Drop Down 54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69" r:id="rId530" name="Drop Down 54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68" r:id="rId531" name="Drop Down 54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67" r:id="rId532" name="Drop Down 54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78" r:id="rId533" name="Drop Down 55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77" r:id="rId534" name="Drop Down 55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76" r:id="rId535" name="Drop Down 55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75" r:id="rId536" name="Drop Down 55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74" r:id="rId537" name="Drop Down 55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73" r:id="rId538" name="Drop Down 54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84" r:id="rId539" name="Drop Down 56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83" r:id="rId540" name="Drop Down 55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82" r:id="rId541" name="Drop Down 558">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81" r:id="rId542" name="Drop Down 557">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80" r:id="rId543" name="Drop Down 556">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79" r:id="rId544" name="Drop Down 555">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90" r:id="rId545" name="Drop Down 56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89" r:id="rId546" name="Drop Down 56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88" r:id="rId547" name="Drop Down 564">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87" r:id="rId548" name="Drop Down 563">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86" r:id="rId549" name="Drop Down 562">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85" r:id="rId550" name="Drop Down 561">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96" r:id="rId551" name="Drop Down 57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95" r:id="rId552" name="Drop Down 57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94" r:id="rId553" name="Drop Down 57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93" r:id="rId554" name="Drop Down 56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92" r:id="rId555" name="Drop Down 56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91" r:id="rId556" name="Drop Down 56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602" r:id="rId557" name="Drop Down 57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01" r:id="rId558" name="Drop Down 57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00" r:id="rId559" name="Drop Down 57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99" r:id="rId560" name="Drop Down 57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98" r:id="rId561" name="Drop Down 57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97" r:id="rId562" name="Drop Down 57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608" r:id="rId563" name="Drop Down 58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07" r:id="rId564" name="Drop Down 58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06" r:id="rId565" name="Drop Down 58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605" r:id="rId566" name="Drop Down 58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604" r:id="rId567" name="Drop Down 58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603" r:id="rId568" name="Drop Down 57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614" r:id="rId569" name="Drop Down 59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13" r:id="rId570" name="Drop Down 58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12" r:id="rId571" name="Drop Down 588">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611" r:id="rId572" name="Drop Down 587">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610" r:id="rId573" name="Drop Down 586">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609" r:id="rId574" name="Drop Down 585">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3" r:id="rId575" name="Drop Down -102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7" r:id="rId576" name="Drop Down -101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8" r:id="rId577" name="Drop Down -101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9" r:id="rId578" name="Drop Down -101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 r:id="rId579" name="Drop Down -101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 r:id="rId580" name="Drop Down -101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2:AF42"/>
  <sheetViews>
    <sheetView showGridLines="0" showRowColHeaders="0" showZeros="0" workbookViewId="0">
      <selection activeCell="U7" sqref="U7:V8"/>
    </sheetView>
  </sheetViews>
  <sheetFormatPr defaultRowHeight="15"/>
  <cols>
    <col min="1" max="1" width="7.5703125" customWidth="1"/>
    <col min="13" max="13" width="10" customWidth="1"/>
    <col min="14" max="14" width="9.140625" hidden="1" customWidth="1"/>
    <col min="15" max="15" width="6.85546875" hidden="1" customWidth="1"/>
    <col min="16" max="16" width="9.140625" hidden="1" customWidth="1"/>
    <col min="17" max="19" width="0" hidden="1" customWidth="1"/>
  </cols>
  <sheetData>
    <row r="2" spans="1:32" ht="15.75" thickBot="1"/>
    <row r="3" spans="1:32" ht="19.5" thickBot="1">
      <c r="A3" s="947" t="s">
        <v>35</v>
      </c>
      <c r="B3" s="948"/>
      <c r="C3" s="948"/>
      <c r="D3" s="948"/>
      <c r="E3" s="948"/>
      <c r="F3" s="948"/>
      <c r="G3" s="948"/>
      <c r="H3" s="948"/>
      <c r="I3" s="204"/>
      <c r="N3" s="944" t="s">
        <v>31</v>
      </c>
      <c r="O3" s="4">
        <f>D7</f>
        <v>0</v>
      </c>
      <c r="P3" s="7"/>
    </row>
    <row r="4" spans="1:32" ht="19.5" thickBot="1">
      <c r="A4" s="953" t="s">
        <v>39</v>
      </c>
      <c r="B4" s="954"/>
      <c r="C4" s="954"/>
      <c r="D4" s="954"/>
      <c r="E4" s="954"/>
      <c r="F4" s="954"/>
      <c r="G4" s="954"/>
      <c r="H4" s="954"/>
      <c r="I4" s="205"/>
      <c r="N4" s="945"/>
      <c r="O4" s="5">
        <f>D10</f>
        <v>0</v>
      </c>
      <c r="P4" s="8" t="e">
        <f>AVERAGEIF(O3:O6,"&lt;&gt;0")</f>
        <v>#DIV/0!</v>
      </c>
      <c r="S4" s="9" t="str">
        <f>IF(ISERROR(P4),"",P4)</f>
        <v/>
      </c>
    </row>
    <row r="5" spans="1:32">
      <c r="A5" s="50"/>
      <c r="B5" s="3"/>
      <c r="C5" s="3"/>
      <c r="D5" s="3"/>
      <c r="E5" s="3"/>
      <c r="F5" s="3"/>
      <c r="G5" s="3"/>
      <c r="H5" s="3"/>
      <c r="I5" s="205"/>
      <c r="N5" s="945"/>
      <c r="O5" s="5">
        <f>D13</f>
        <v>0</v>
      </c>
      <c r="P5" s="7"/>
      <c r="T5" s="934" t="s">
        <v>73</v>
      </c>
      <c r="U5" s="935" t="s">
        <v>152</v>
      </c>
      <c r="V5" s="935"/>
      <c r="W5" s="935" t="s">
        <v>151</v>
      </c>
      <c r="X5" s="935"/>
      <c r="Y5" s="935" t="s">
        <v>153</v>
      </c>
      <c r="Z5" s="935"/>
      <c r="AA5" s="935" t="s">
        <v>69</v>
      </c>
      <c r="AB5" s="935"/>
      <c r="AC5" s="935" t="s">
        <v>160</v>
      </c>
      <c r="AD5" s="935"/>
      <c r="AE5" s="936"/>
      <c r="AF5" s="936"/>
    </row>
    <row r="6" spans="1:32" ht="15.75" thickBot="1">
      <c r="A6" s="50"/>
      <c r="B6" s="3"/>
      <c r="C6" s="3"/>
      <c r="D6" s="558" t="s">
        <v>38</v>
      </c>
      <c r="E6" s="957" t="s">
        <v>37</v>
      </c>
      <c r="F6" s="957"/>
      <c r="G6" s="957" t="s">
        <v>36</v>
      </c>
      <c r="H6" s="957"/>
      <c r="I6" s="205"/>
      <c r="N6" s="946"/>
      <c r="O6" s="6">
        <f>D16</f>
        <v>0</v>
      </c>
      <c r="P6" s="7"/>
      <c r="T6" s="934"/>
      <c r="U6" s="935"/>
      <c r="V6" s="935"/>
      <c r="W6" s="935"/>
      <c r="X6" s="935"/>
      <c r="Y6" s="935"/>
      <c r="Z6" s="935"/>
      <c r="AA6" s="935"/>
      <c r="AB6" s="935"/>
      <c r="AC6" s="935"/>
      <c r="AD6" s="935"/>
      <c r="AE6" s="936"/>
      <c r="AF6" s="936"/>
    </row>
    <row r="7" spans="1:32" ht="15" customHeight="1" thickBot="1">
      <c r="A7" s="50"/>
      <c r="B7" s="917" t="s">
        <v>154</v>
      </c>
      <c r="C7" s="485" t="s">
        <v>31</v>
      </c>
      <c r="D7" s="745"/>
      <c r="E7" s="949" t="str">
        <f>IF(AND(D7&gt;=10,D7&lt;=30),"Korozif ",IF(AND(D7&gt;30,D7&lt;=100),"Orta Korozif",IF(AND(D7&gt;0.1,D7&lt;10),"Çok Korozif",IF(D7&gt;100,"Korozif Değil",IF(D7=0,"-")))))</f>
        <v>-</v>
      </c>
      <c r="F7" s="950"/>
      <c r="G7" s="949" t="str">
        <f>IF(AND(D7&gt;10,D7&lt;=100),"Orta Korozif ",IF(AND(D7&gt;0.1,D7&lt;=10),"Yüksek Korozif",IF(D7&gt;100,"Düşük Korozif",IF(D7=0,"-"))))</f>
        <v>-</v>
      </c>
      <c r="H7" s="950"/>
      <c r="I7" s="205"/>
      <c r="N7" s="944" t="s">
        <v>32</v>
      </c>
      <c r="O7" s="4">
        <f>D8</f>
        <v>0</v>
      </c>
      <c r="P7" s="7"/>
      <c r="T7" s="926" t="s">
        <v>154</v>
      </c>
      <c r="U7" s="937"/>
      <c r="V7" s="938"/>
      <c r="W7" s="939">
        <f>U7</f>
        <v>0</v>
      </c>
      <c r="X7" s="938"/>
      <c r="Y7" s="939">
        <f t="shared" ref="Y7:Y15" si="0">D7</f>
        <v>0</v>
      </c>
      <c r="Z7" s="938"/>
      <c r="AA7" s="939"/>
      <c r="AB7" s="938"/>
      <c r="AC7" s="939"/>
      <c r="AD7" s="938"/>
      <c r="AE7" s="278"/>
    </row>
    <row r="8" spans="1:32" ht="15" customHeight="1" thickBot="1">
      <c r="A8" s="50"/>
      <c r="B8" s="918"/>
      <c r="C8" s="487" t="s">
        <v>32</v>
      </c>
      <c r="D8" s="746"/>
      <c r="E8" s="955" t="str">
        <f t="shared" ref="E8:E18" si="1">IF(AND(D8&gt;=10,D8&lt;=30),"Korozif ",IF(AND(D8&gt;30,D8&lt;=100),"Orta Korozif",IF(AND(D8&gt;0.1,D8&lt;10),"Çok Korozif",IF(D8&gt;100,"Korozif Değil",IF(D8=0,"-")))))</f>
        <v>-</v>
      </c>
      <c r="F8" s="956"/>
      <c r="G8" s="955" t="str">
        <f t="shared" ref="G8:G18" si="2">IF(AND(D8&gt;10,D8&lt;=100),"Orta Korozif ",IF(AND(D8&gt;0.1,D8&lt;=10),"Yüksek Korozif",IF(D8&gt;100,"Düşük Korozif",IF(D8=0,"-"))))</f>
        <v>-</v>
      </c>
      <c r="H8" s="956"/>
      <c r="I8" s="205"/>
      <c r="N8" s="945"/>
      <c r="O8" s="5">
        <f>D11</f>
        <v>0</v>
      </c>
      <c r="P8" s="8" t="e">
        <f>AVERAGEIF(O7:O9,"&lt;&gt;0")</f>
        <v>#DIV/0!</v>
      </c>
      <c r="S8" s="277" t="str">
        <f>IF(ISERROR(P8),"",P8)</f>
        <v/>
      </c>
      <c r="T8" s="926"/>
      <c r="U8" s="931"/>
      <c r="V8" s="932"/>
      <c r="W8" s="933">
        <f>U8-U7</f>
        <v>0</v>
      </c>
      <c r="X8" s="932"/>
      <c r="Y8" s="933">
        <f t="shared" si="0"/>
        <v>0</v>
      </c>
      <c r="Z8" s="932"/>
      <c r="AA8" s="933"/>
      <c r="AB8" s="932"/>
      <c r="AC8" s="933"/>
      <c r="AD8" s="932"/>
      <c r="AE8" s="278"/>
    </row>
    <row r="9" spans="1:32" ht="15" customHeight="1" thickBot="1">
      <c r="A9" s="50"/>
      <c r="B9" s="918"/>
      <c r="C9" s="487" t="s">
        <v>33</v>
      </c>
      <c r="D9" s="747"/>
      <c r="E9" s="949" t="str">
        <f t="shared" si="1"/>
        <v>-</v>
      </c>
      <c r="F9" s="950"/>
      <c r="G9" s="949" t="str">
        <f t="shared" si="2"/>
        <v>-</v>
      </c>
      <c r="H9" s="950"/>
      <c r="I9" s="205"/>
      <c r="N9" s="945"/>
      <c r="O9" s="5">
        <f>D14</f>
        <v>0</v>
      </c>
      <c r="P9" s="7"/>
      <c r="T9" s="927"/>
      <c r="U9" s="924"/>
      <c r="V9" s="924"/>
      <c r="W9" s="924">
        <f>U9-U8</f>
        <v>0</v>
      </c>
      <c r="X9" s="924"/>
      <c r="Y9" s="924">
        <f t="shared" si="0"/>
        <v>0</v>
      </c>
      <c r="Z9" s="924"/>
      <c r="AA9" s="924"/>
      <c r="AB9" s="924"/>
      <c r="AC9" s="924"/>
      <c r="AD9" s="924"/>
    </row>
    <row r="10" spans="1:32" ht="15" customHeight="1" thickBot="1">
      <c r="A10" s="50"/>
      <c r="B10" s="917" t="s">
        <v>155</v>
      </c>
      <c r="C10" s="485" t="s">
        <v>31</v>
      </c>
      <c r="D10" s="748"/>
      <c r="E10" s="951" t="str">
        <f t="shared" si="1"/>
        <v>-</v>
      </c>
      <c r="F10" s="952"/>
      <c r="G10" s="951" t="str">
        <f t="shared" si="2"/>
        <v>-</v>
      </c>
      <c r="H10" s="952"/>
      <c r="I10" s="205"/>
      <c r="N10" s="944" t="s">
        <v>33</v>
      </c>
      <c r="O10" s="4">
        <f>D9</f>
        <v>0</v>
      </c>
      <c r="P10" s="7"/>
      <c r="T10" s="925" t="s">
        <v>155</v>
      </c>
      <c r="U10" s="928"/>
      <c r="V10" s="929"/>
      <c r="W10" s="930">
        <f>U10</f>
        <v>0</v>
      </c>
      <c r="X10" s="929"/>
      <c r="Y10" s="930">
        <f t="shared" si="0"/>
        <v>0</v>
      </c>
      <c r="Z10" s="929"/>
      <c r="AA10" s="930"/>
      <c r="AB10" s="929"/>
      <c r="AC10" s="930"/>
      <c r="AD10" s="929"/>
    </row>
    <row r="11" spans="1:32" ht="15" customHeight="1" thickBot="1">
      <c r="A11" s="50"/>
      <c r="B11" s="918"/>
      <c r="C11" s="487" t="s">
        <v>32</v>
      </c>
      <c r="D11" s="746"/>
      <c r="E11" s="955" t="str">
        <f t="shared" si="1"/>
        <v>-</v>
      </c>
      <c r="F11" s="956"/>
      <c r="G11" s="955" t="str">
        <f t="shared" si="2"/>
        <v>-</v>
      </c>
      <c r="H11" s="956"/>
      <c r="I11" s="205"/>
      <c r="N11" s="945"/>
      <c r="O11" s="5">
        <f>D12</f>
        <v>0</v>
      </c>
      <c r="P11" s="8" t="e">
        <f>AVERAGEIF(O10:O12,"&lt;&gt;0")</f>
        <v>#DIV/0!</v>
      </c>
      <c r="S11" s="277" t="str">
        <f>IF(ISERROR(P11),"",P11)</f>
        <v/>
      </c>
      <c r="T11" s="926"/>
      <c r="U11" s="931"/>
      <c r="V11" s="932"/>
      <c r="W11" s="933">
        <f>U11-U10</f>
        <v>0</v>
      </c>
      <c r="X11" s="932"/>
      <c r="Y11" s="933">
        <f t="shared" si="0"/>
        <v>0</v>
      </c>
      <c r="Z11" s="932"/>
      <c r="AA11" s="933"/>
      <c r="AB11" s="932"/>
      <c r="AC11" s="933"/>
      <c r="AD11" s="932"/>
    </row>
    <row r="12" spans="1:32" ht="15" customHeight="1" thickBot="1">
      <c r="A12" s="50"/>
      <c r="B12" s="918"/>
      <c r="C12" s="487" t="s">
        <v>33</v>
      </c>
      <c r="D12" s="747"/>
      <c r="E12" s="949" t="str">
        <f t="shared" si="1"/>
        <v>-</v>
      </c>
      <c r="F12" s="950"/>
      <c r="G12" s="949" t="str">
        <f t="shared" si="2"/>
        <v>-</v>
      </c>
      <c r="H12" s="950"/>
      <c r="I12" s="205"/>
      <c r="N12" s="945"/>
      <c r="O12" s="5">
        <f>D15</f>
        <v>0</v>
      </c>
      <c r="P12" s="7"/>
      <c r="T12" s="927"/>
      <c r="U12" s="924"/>
      <c r="V12" s="924"/>
      <c r="W12" s="924">
        <f>U12-U11</f>
        <v>0</v>
      </c>
      <c r="X12" s="924"/>
      <c r="Y12" s="924">
        <f t="shared" si="0"/>
        <v>0</v>
      </c>
      <c r="Z12" s="924"/>
      <c r="AA12" s="924"/>
      <c r="AB12" s="924"/>
      <c r="AC12" s="924"/>
      <c r="AD12" s="924"/>
    </row>
    <row r="13" spans="1:32" ht="15" customHeight="1" thickBot="1">
      <c r="A13" s="50"/>
      <c r="B13" s="917" t="s">
        <v>157</v>
      </c>
      <c r="C13" s="485" t="s">
        <v>31</v>
      </c>
      <c r="D13" s="748"/>
      <c r="E13" s="951" t="str">
        <f t="shared" si="1"/>
        <v>-</v>
      </c>
      <c r="F13" s="952"/>
      <c r="G13" s="951" t="str">
        <f t="shared" si="2"/>
        <v>-</v>
      </c>
      <c r="H13" s="952"/>
      <c r="I13" s="205"/>
      <c r="N13" s="944" t="s">
        <v>34</v>
      </c>
      <c r="O13" s="4" t="e">
        <f>#REF!</f>
        <v>#REF!</v>
      </c>
      <c r="P13" s="7"/>
      <c r="T13" s="925" t="s">
        <v>157</v>
      </c>
      <c r="U13" s="928"/>
      <c r="V13" s="929"/>
      <c r="W13" s="930">
        <f>U13</f>
        <v>0</v>
      </c>
      <c r="X13" s="929"/>
      <c r="Y13" s="930">
        <f t="shared" si="0"/>
        <v>0</v>
      </c>
      <c r="Z13" s="929"/>
      <c r="AA13" s="930"/>
      <c r="AB13" s="929"/>
      <c r="AC13" s="930"/>
      <c r="AD13" s="929"/>
    </row>
    <row r="14" spans="1:32" ht="15.75" customHeight="1" thickBot="1">
      <c r="A14" s="50"/>
      <c r="B14" s="918"/>
      <c r="C14" s="487" t="s">
        <v>32</v>
      </c>
      <c r="D14" s="746"/>
      <c r="E14" s="955" t="str">
        <f t="shared" si="1"/>
        <v>-</v>
      </c>
      <c r="F14" s="956"/>
      <c r="G14" s="955" t="str">
        <f t="shared" si="2"/>
        <v>-</v>
      </c>
      <c r="H14" s="956"/>
      <c r="I14" s="205"/>
      <c r="N14" s="945"/>
      <c r="O14" s="5" t="e">
        <f>#REF!</f>
        <v>#REF!</v>
      </c>
      <c r="P14" s="8" t="e">
        <f>AVERAGEIF(O13:O15,"&lt;&gt;0")</f>
        <v>#REF!</v>
      </c>
      <c r="Q14" t="str">
        <f>IFERROR(#REF!,"-")</f>
        <v>-</v>
      </c>
      <c r="S14" s="10" t="str">
        <f>IF(ISERROR(P14),"",P14)</f>
        <v/>
      </c>
      <c r="T14" s="926"/>
      <c r="U14" s="931"/>
      <c r="V14" s="932"/>
      <c r="W14" s="933">
        <f>U14-U13</f>
        <v>0</v>
      </c>
      <c r="X14" s="932"/>
      <c r="Y14" s="933">
        <f t="shared" si="0"/>
        <v>0</v>
      </c>
      <c r="Z14" s="932"/>
      <c r="AA14" s="933"/>
      <c r="AB14" s="932"/>
      <c r="AC14" s="933"/>
      <c r="AD14" s="932"/>
    </row>
    <row r="15" spans="1:32" ht="16.5" thickBot="1">
      <c r="A15" s="50"/>
      <c r="B15" s="918"/>
      <c r="C15" s="487" t="s">
        <v>33</v>
      </c>
      <c r="D15" s="747"/>
      <c r="E15" s="949" t="str">
        <f t="shared" si="1"/>
        <v>-</v>
      </c>
      <c r="F15" s="950"/>
      <c r="G15" s="949" t="str">
        <f t="shared" si="2"/>
        <v>-</v>
      </c>
      <c r="H15" s="950"/>
      <c r="I15" s="205"/>
      <c r="N15" s="945"/>
      <c r="O15" s="5" t="e">
        <f>#REF!</f>
        <v>#REF!</v>
      </c>
      <c r="P15" s="7"/>
      <c r="T15" s="927"/>
      <c r="U15" s="924"/>
      <c r="V15" s="924"/>
      <c r="W15" s="924">
        <f>U15-U14</f>
        <v>0</v>
      </c>
      <c r="X15" s="924"/>
      <c r="Y15" s="924">
        <f t="shared" si="0"/>
        <v>0</v>
      </c>
      <c r="Z15" s="924"/>
      <c r="AA15" s="924"/>
      <c r="AB15" s="924"/>
      <c r="AC15" s="924"/>
      <c r="AD15" s="924"/>
    </row>
    <row r="16" spans="1:32" ht="16.5" thickBot="1">
      <c r="A16" s="50"/>
      <c r="B16" s="917" t="s">
        <v>158</v>
      </c>
      <c r="C16" s="485" t="s">
        <v>31</v>
      </c>
      <c r="D16" s="749"/>
      <c r="E16" s="951" t="str">
        <f t="shared" si="1"/>
        <v>-</v>
      </c>
      <c r="F16" s="952"/>
      <c r="G16" s="951" t="str">
        <f t="shared" si="2"/>
        <v>-</v>
      </c>
      <c r="H16" s="952"/>
      <c r="I16" s="205"/>
      <c r="K16" s="163" t="s">
        <v>38</v>
      </c>
    </row>
    <row r="17" spans="1:32" ht="16.5" thickBot="1">
      <c r="A17" s="50"/>
      <c r="B17" s="918"/>
      <c r="C17" s="487" t="s">
        <v>32</v>
      </c>
      <c r="D17" s="746"/>
      <c r="E17" s="955" t="str">
        <f t="shared" si="1"/>
        <v>-</v>
      </c>
      <c r="F17" s="956"/>
      <c r="G17" s="955" t="str">
        <f t="shared" si="2"/>
        <v>-</v>
      </c>
      <c r="H17" s="956"/>
      <c r="I17" s="205"/>
      <c r="J17" s="341" t="s">
        <v>569</v>
      </c>
      <c r="K17" s="350">
        <f>MIN(D7:D18)</f>
        <v>0</v>
      </c>
    </row>
    <row r="18" spans="1:32" ht="16.5" thickBot="1">
      <c r="A18" s="50"/>
      <c r="B18" s="919"/>
      <c r="C18" s="494" t="s">
        <v>33</v>
      </c>
      <c r="D18" s="747"/>
      <c r="E18" s="960" t="str">
        <f t="shared" si="1"/>
        <v>-</v>
      </c>
      <c r="F18" s="961"/>
      <c r="G18" s="960" t="str">
        <f t="shared" si="2"/>
        <v>-</v>
      </c>
      <c r="H18" s="961"/>
      <c r="I18" s="205"/>
      <c r="J18" s="341" t="s">
        <v>570</v>
      </c>
      <c r="K18" s="350">
        <f>MAX(D7:D18)</f>
        <v>0</v>
      </c>
    </row>
    <row r="19" spans="1:32" ht="15.75" thickBot="1">
      <c r="A19" s="207"/>
      <c r="B19" s="208"/>
      <c r="C19" s="208"/>
      <c r="D19" s="208"/>
      <c r="E19" s="208"/>
      <c r="F19" s="208"/>
      <c r="G19" s="208"/>
      <c r="H19" s="208"/>
      <c r="I19" s="206"/>
      <c r="T19" s="920" t="s">
        <v>509</v>
      </c>
      <c r="U19" s="921"/>
      <c r="V19" s="921"/>
      <c r="W19" s="922"/>
      <c r="X19" s="923"/>
      <c r="Z19" s="424" t="s">
        <v>747</v>
      </c>
      <c r="AA19" s="424" t="s">
        <v>748</v>
      </c>
      <c r="AB19" s="424" t="s">
        <v>749</v>
      </c>
      <c r="AC19" s="3"/>
      <c r="AD19" s="914" t="s">
        <v>750</v>
      </c>
      <c r="AE19" s="915"/>
      <c r="AF19" s="916"/>
    </row>
    <row r="20" spans="1:32" ht="16.5" thickBot="1">
      <c r="T20" s="918" t="s">
        <v>154</v>
      </c>
      <c r="U20" s="487" t="s">
        <v>31</v>
      </c>
      <c r="V20" s="310">
        <f>D7</f>
        <v>0</v>
      </c>
      <c r="W20" s="355">
        <f t="shared" ref="W20:W31" si="3">49.21*(EXP(-0.017*V20))</f>
        <v>49.21</v>
      </c>
      <c r="X20" s="308" t="s">
        <v>508</v>
      </c>
      <c r="Z20" s="191">
        <v>2</v>
      </c>
      <c r="AA20" s="191">
        <v>2</v>
      </c>
      <c r="AB20" s="563">
        <v>4.7</v>
      </c>
      <c r="AC20" s="3"/>
      <c r="AD20" s="424" t="s">
        <v>747</v>
      </c>
      <c r="AE20" s="424" t="s">
        <v>748</v>
      </c>
      <c r="AF20" s="424" t="s">
        <v>749</v>
      </c>
    </row>
    <row r="21" spans="1:32" ht="15.75">
      <c r="T21" s="918"/>
      <c r="U21" s="487" t="s">
        <v>32</v>
      </c>
      <c r="V21" s="311">
        <f>D8</f>
        <v>0</v>
      </c>
      <c r="W21" s="356">
        <f t="shared" si="3"/>
        <v>49.21</v>
      </c>
      <c r="X21" s="309" t="s">
        <v>508</v>
      </c>
      <c r="Z21" s="178">
        <v>3</v>
      </c>
      <c r="AA21" s="178">
        <v>2</v>
      </c>
      <c r="AB21" s="35">
        <v>12.5</v>
      </c>
      <c r="AC21" s="3"/>
      <c r="AD21" s="564"/>
      <c r="AE21" s="565"/>
      <c r="AF21" s="566" t="e">
        <f>(0.785*AE21)*((AD21*2)^2/AE21^2-1)</f>
        <v>#DIV/0!</v>
      </c>
    </row>
    <row r="22" spans="1:32" ht="16.5" thickBot="1">
      <c r="B22" s="962" t="s">
        <v>469</v>
      </c>
      <c r="C22" s="962"/>
      <c r="D22" s="962"/>
      <c r="E22" s="962"/>
      <c r="F22" s="962"/>
      <c r="G22" s="940"/>
      <c r="H22" s="940"/>
      <c r="I22" s="940"/>
      <c r="J22" s="940"/>
      <c r="T22" s="918"/>
      <c r="U22" s="487" t="s">
        <v>33</v>
      </c>
      <c r="V22" s="312">
        <f>D9</f>
        <v>0</v>
      </c>
      <c r="W22" s="357">
        <f t="shared" si="3"/>
        <v>49.21</v>
      </c>
      <c r="X22" s="361" t="s">
        <v>508</v>
      </c>
      <c r="Z22" s="178">
        <v>4</v>
      </c>
      <c r="AA22" s="178">
        <v>2</v>
      </c>
      <c r="AB22" s="35">
        <v>23.6</v>
      </c>
      <c r="AC22" s="3"/>
      <c r="AD22" s="562"/>
      <c r="AE22" s="562"/>
      <c r="AF22" s="567" t="e">
        <f t="shared" ref="AF22:AF38" si="4">(0.785*AE22)*(((AD22*2)^2/AE22^2)-1)</f>
        <v>#DIV/0!</v>
      </c>
    </row>
    <row r="23" spans="1:32" ht="16.5" customHeight="1">
      <c r="B23" s="934" t="s">
        <v>73</v>
      </c>
      <c r="C23" s="941" t="s">
        <v>149</v>
      </c>
      <c r="D23" s="941"/>
      <c r="E23" s="942" t="s">
        <v>150</v>
      </c>
      <c r="F23" s="942"/>
      <c r="G23" s="941" t="s">
        <v>149</v>
      </c>
      <c r="H23" s="941"/>
      <c r="I23" s="942" t="s">
        <v>150</v>
      </c>
      <c r="J23" s="942"/>
      <c r="T23" s="917" t="s">
        <v>155</v>
      </c>
      <c r="U23" s="485" t="s">
        <v>31</v>
      </c>
      <c r="V23" s="358">
        <f t="shared" ref="V23:V31" si="5">D10</f>
        <v>0</v>
      </c>
      <c r="W23" s="359">
        <f t="shared" si="3"/>
        <v>49.21</v>
      </c>
      <c r="X23" s="360" t="s">
        <v>508</v>
      </c>
      <c r="Z23" s="178">
        <v>5</v>
      </c>
      <c r="AA23" s="178">
        <v>2</v>
      </c>
      <c r="AB23" s="35">
        <v>37.700000000000003</v>
      </c>
      <c r="AC23" s="3"/>
      <c r="AD23" s="562"/>
      <c r="AE23" s="562"/>
      <c r="AF23" s="567" t="e">
        <f t="shared" si="4"/>
        <v>#DIV/0!</v>
      </c>
    </row>
    <row r="24" spans="1:32" ht="15.75">
      <c r="B24" s="934"/>
      <c r="C24" s="943" t="s">
        <v>70</v>
      </c>
      <c r="D24" s="943"/>
      <c r="E24" s="943" t="s">
        <v>71</v>
      </c>
      <c r="F24" s="943"/>
      <c r="G24" s="943" t="s">
        <v>70</v>
      </c>
      <c r="H24" s="943"/>
      <c r="I24" s="943" t="s">
        <v>71</v>
      </c>
      <c r="J24" s="943"/>
      <c r="T24" s="918"/>
      <c r="U24" s="487" t="s">
        <v>32</v>
      </c>
      <c r="V24" s="311">
        <f t="shared" si="5"/>
        <v>0</v>
      </c>
      <c r="W24" s="356">
        <f t="shared" si="3"/>
        <v>49.21</v>
      </c>
      <c r="X24" s="309" t="s">
        <v>508</v>
      </c>
      <c r="Z24" s="178">
        <v>6</v>
      </c>
      <c r="AA24" s="178">
        <v>2</v>
      </c>
      <c r="AB24" s="35">
        <v>55</v>
      </c>
      <c r="AC24" s="3"/>
      <c r="AD24" s="562"/>
      <c r="AE24" s="562"/>
      <c r="AF24" s="567" t="e">
        <f t="shared" si="4"/>
        <v>#DIV/0!</v>
      </c>
    </row>
    <row r="25" spans="1:32" ht="16.5" thickBot="1">
      <c r="B25" s="741" t="s">
        <v>154</v>
      </c>
      <c r="C25" s="939"/>
      <c r="D25" s="938"/>
      <c r="E25" s="939"/>
      <c r="F25" s="938"/>
      <c r="G25" s="939"/>
      <c r="H25" s="938"/>
      <c r="I25" s="939"/>
      <c r="J25" s="938"/>
      <c r="T25" s="918"/>
      <c r="U25" s="487" t="s">
        <v>33</v>
      </c>
      <c r="V25" s="312">
        <f t="shared" si="5"/>
        <v>0</v>
      </c>
      <c r="W25" s="357">
        <f t="shared" si="3"/>
        <v>49.21</v>
      </c>
      <c r="X25" s="361" t="s">
        <v>508</v>
      </c>
      <c r="Z25" s="178">
        <v>7</v>
      </c>
      <c r="AA25" s="178">
        <v>2</v>
      </c>
      <c r="AB25" s="35">
        <v>75</v>
      </c>
      <c r="AC25" s="3"/>
      <c r="AD25" s="562"/>
      <c r="AE25" s="562"/>
      <c r="AF25" s="567" t="e">
        <f t="shared" si="4"/>
        <v>#DIV/0!</v>
      </c>
    </row>
    <row r="26" spans="1:32" ht="15.75">
      <c r="B26" s="742" t="s">
        <v>155</v>
      </c>
      <c r="C26" s="933"/>
      <c r="D26" s="932"/>
      <c r="E26" s="933"/>
      <c r="F26" s="932"/>
      <c r="G26" s="933"/>
      <c r="H26" s="932"/>
      <c r="I26" s="933"/>
      <c r="J26" s="932"/>
      <c r="T26" s="917" t="s">
        <v>157</v>
      </c>
      <c r="U26" s="485" t="s">
        <v>31</v>
      </c>
      <c r="V26" s="358">
        <f t="shared" si="5"/>
        <v>0</v>
      </c>
      <c r="W26" s="359">
        <f t="shared" si="3"/>
        <v>49.21</v>
      </c>
      <c r="X26" s="360" t="s">
        <v>508</v>
      </c>
      <c r="Z26" s="178">
        <v>8.5</v>
      </c>
      <c r="AA26" s="178">
        <v>2</v>
      </c>
      <c r="AB26" s="35">
        <v>112</v>
      </c>
      <c r="AC26" s="3"/>
      <c r="AD26" s="562"/>
      <c r="AE26" s="562"/>
      <c r="AF26" s="567" t="e">
        <f t="shared" si="4"/>
        <v>#DIV/0!</v>
      </c>
    </row>
    <row r="27" spans="1:32" ht="15.75">
      <c r="B27" s="742" t="s">
        <v>157</v>
      </c>
      <c r="C27" s="933"/>
      <c r="D27" s="932"/>
      <c r="E27" s="933"/>
      <c r="F27" s="932"/>
      <c r="G27" s="933"/>
      <c r="H27" s="932"/>
      <c r="I27" s="933"/>
      <c r="J27" s="932"/>
      <c r="T27" s="918"/>
      <c r="U27" s="487" t="s">
        <v>32</v>
      </c>
      <c r="V27" s="311">
        <f t="shared" si="5"/>
        <v>0</v>
      </c>
      <c r="W27" s="356">
        <f t="shared" si="3"/>
        <v>49.21</v>
      </c>
      <c r="X27" s="309" t="s">
        <v>508</v>
      </c>
      <c r="Z27" s="178">
        <v>10</v>
      </c>
      <c r="AA27" s="178">
        <v>2</v>
      </c>
      <c r="AB27" s="35">
        <v>156</v>
      </c>
      <c r="AC27" s="3"/>
      <c r="AD27" s="562"/>
      <c r="AE27" s="562"/>
      <c r="AF27" s="567" t="e">
        <f t="shared" si="4"/>
        <v>#DIV/0!</v>
      </c>
    </row>
    <row r="28" spans="1:32" ht="16.5" thickBot="1">
      <c r="B28" s="742" t="s">
        <v>158</v>
      </c>
      <c r="C28" s="933"/>
      <c r="D28" s="932"/>
      <c r="E28" s="933"/>
      <c r="F28" s="932"/>
      <c r="G28" s="933"/>
      <c r="H28" s="932"/>
      <c r="I28" s="933"/>
      <c r="J28" s="932"/>
      <c r="T28" s="918"/>
      <c r="U28" s="487" t="s">
        <v>33</v>
      </c>
      <c r="V28" s="312">
        <f t="shared" si="5"/>
        <v>0</v>
      </c>
      <c r="W28" s="357">
        <f t="shared" si="3"/>
        <v>49.21</v>
      </c>
      <c r="X28" s="361" t="s">
        <v>508</v>
      </c>
      <c r="Z28" s="178">
        <v>12</v>
      </c>
      <c r="AA28" s="178">
        <v>2</v>
      </c>
      <c r="AB28" s="35">
        <v>225</v>
      </c>
      <c r="AC28" s="3"/>
      <c r="AD28" s="562"/>
      <c r="AE28" s="562"/>
      <c r="AF28" s="567" t="e">
        <f t="shared" si="4"/>
        <v>#DIV/0!</v>
      </c>
    </row>
    <row r="29" spans="1:32" ht="15.75">
      <c r="B29" s="742" t="s">
        <v>156</v>
      </c>
      <c r="C29" s="933"/>
      <c r="D29" s="932"/>
      <c r="E29" s="933"/>
      <c r="F29" s="932"/>
      <c r="G29" s="933"/>
      <c r="H29" s="932"/>
      <c r="I29" s="933"/>
      <c r="J29" s="932"/>
      <c r="T29" s="917" t="s">
        <v>158</v>
      </c>
      <c r="U29" s="485" t="s">
        <v>31</v>
      </c>
      <c r="V29" s="358">
        <f t="shared" si="5"/>
        <v>0</v>
      </c>
      <c r="W29" s="359">
        <f t="shared" si="3"/>
        <v>49.21</v>
      </c>
      <c r="X29" s="360" t="s">
        <v>508</v>
      </c>
      <c r="Z29" s="178">
        <v>15</v>
      </c>
      <c r="AA29" s="178">
        <v>2</v>
      </c>
      <c r="AB29" s="35">
        <v>352</v>
      </c>
      <c r="AC29" s="3"/>
      <c r="AD29" s="562"/>
      <c r="AE29" s="562"/>
      <c r="AF29" s="567" t="e">
        <f t="shared" si="4"/>
        <v>#DIV/0!</v>
      </c>
    </row>
    <row r="30" spans="1:32" ht="15.75">
      <c r="B30" s="743" t="s">
        <v>159</v>
      </c>
      <c r="C30" s="933"/>
      <c r="D30" s="932"/>
      <c r="E30" s="933"/>
      <c r="F30" s="932"/>
      <c r="G30" s="933"/>
      <c r="H30" s="932"/>
      <c r="I30" s="933"/>
      <c r="J30" s="932"/>
      <c r="T30" s="918"/>
      <c r="U30" s="487" t="s">
        <v>32</v>
      </c>
      <c r="V30" s="311">
        <f t="shared" si="5"/>
        <v>0</v>
      </c>
      <c r="W30" s="356">
        <f t="shared" si="3"/>
        <v>49.21</v>
      </c>
      <c r="X30" s="309" t="s">
        <v>508</v>
      </c>
      <c r="Z30" s="178">
        <v>18</v>
      </c>
      <c r="AA30" s="178">
        <v>2</v>
      </c>
      <c r="AB30" s="35">
        <v>508</v>
      </c>
      <c r="AC30" s="3"/>
      <c r="AD30" s="562"/>
      <c r="AE30" s="562"/>
      <c r="AF30" s="567" t="e">
        <f t="shared" si="4"/>
        <v>#DIV/0!</v>
      </c>
    </row>
    <row r="31" spans="1:32" ht="16.5" thickBot="1">
      <c r="T31" s="919"/>
      <c r="U31" s="494" t="s">
        <v>33</v>
      </c>
      <c r="V31" s="312">
        <f t="shared" si="5"/>
        <v>0</v>
      </c>
      <c r="W31" s="357">
        <f t="shared" si="3"/>
        <v>49.21</v>
      </c>
      <c r="X31" s="362" t="s">
        <v>508</v>
      </c>
      <c r="Z31" s="178">
        <v>21</v>
      </c>
      <c r="AA31" s="178">
        <v>2</v>
      </c>
      <c r="AB31" s="35">
        <v>691</v>
      </c>
      <c r="AC31" s="3"/>
      <c r="AD31" s="562"/>
      <c r="AE31" s="562"/>
      <c r="AF31" s="567" t="e">
        <f t="shared" si="4"/>
        <v>#DIV/0!</v>
      </c>
    </row>
    <row r="32" spans="1:32" ht="15.75" thickBot="1">
      <c r="Z32" s="178">
        <v>25</v>
      </c>
      <c r="AA32" s="178">
        <v>2</v>
      </c>
      <c r="AB32" s="35">
        <v>980</v>
      </c>
      <c r="AC32" s="3"/>
      <c r="AD32" s="562"/>
      <c r="AE32" s="562"/>
      <c r="AF32" s="567" t="e">
        <f t="shared" si="4"/>
        <v>#DIV/0!</v>
      </c>
    </row>
    <row r="33" spans="2:32" ht="15.75" thickBot="1">
      <c r="T33" s="963" t="s">
        <v>605</v>
      </c>
      <c r="U33" s="964"/>
      <c r="Z33" s="178">
        <v>30</v>
      </c>
      <c r="AA33" s="178">
        <v>2</v>
      </c>
      <c r="AB33" s="35">
        <v>1412</v>
      </c>
      <c r="AC33" s="3"/>
      <c r="AD33" s="562"/>
      <c r="AE33" s="562"/>
      <c r="AF33" s="567" t="e">
        <f t="shared" si="4"/>
        <v>#DIV/0!</v>
      </c>
    </row>
    <row r="34" spans="2:32" ht="13.5" customHeight="1" thickBot="1">
      <c r="B34" s="958"/>
      <c r="C34" s="958"/>
      <c r="D34" s="958"/>
      <c r="E34" s="958"/>
      <c r="F34" s="958"/>
      <c r="G34" s="940"/>
      <c r="H34" s="940"/>
      <c r="I34" s="940"/>
      <c r="J34" s="940"/>
      <c r="T34" s="335" t="s">
        <v>595</v>
      </c>
      <c r="U34" s="363">
        <f>MIN(W20:W31)</f>
        <v>49.21</v>
      </c>
      <c r="Z34" s="3"/>
      <c r="AA34" s="3"/>
      <c r="AB34" s="3"/>
      <c r="AC34" s="3"/>
      <c r="AD34" s="562"/>
      <c r="AE34" s="562"/>
      <c r="AF34" s="567" t="e">
        <f t="shared" si="4"/>
        <v>#DIV/0!</v>
      </c>
    </row>
    <row r="35" spans="2:32" ht="15" customHeight="1" thickBot="1">
      <c r="B35" s="959"/>
      <c r="C35" s="936"/>
      <c r="D35" s="936"/>
      <c r="E35" s="936"/>
      <c r="F35" s="936"/>
      <c r="G35" s="936"/>
      <c r="H35" s="936"/>
      <c r="I35" s="936"/>
      <c r="J35" s="936"/>
      <c r="K35" s="936"/>
      <c r="L35" s="936"/>
      <c r="M35" s="936"/>
      <c r="N35" s="936"/>
      <c r="T35" s="349" t="s">
        <v>596</v>
      </c>
      <c r="U35" s="363">
        <f>MAX(W20:W31)</f>
        <v>49.21</v>
      </c>
      <c r="Z35" s="3"/>
      <c r="AA35" s="3"/>
      <c r="AB35" s="3"/>
      <c r="AC35" s="3"/>
      <c r="AD35" s="562"/>
      <c r="AE35" s="562"/>
      <c r="AF35" s="567" t="e">
        <f t="shared" si="4"/>
        <v>#DIV/0!</v>
      </c>
    </row>
    <row r="36" spans="2:32">
      <c r="B36" s="959"/>
      <c r="C36" s="936"/>
      <c r="D36" s="936"/>
      <c r="E36" s="936"/>
      <c r="F36" s="936"/>
      <c r="G36" s="936"/>
      <c r="H36" s="936"/>
      <c r="I36" s="936"/>
      <c r="J36" s="936"/>
      <c r="K36" s="936"/>
      <c r="L36" s="936"/>
      <c r="M36" s="936"/>
      <c r="N36" s="936"/>
      <c r="Z36" s="3" t="s">
        <v>328</v>
      </c>
      <c r="AA36" s="3"/>
      <c r="AB36" s="60" t="s">
        <v>330</v>
      </c>
      <c r="AC36" s="3"/>
      <c r="AD36" s="562"/>
      <c r="AE36" s="562"/>
      <c r="AF36" s="567" t="e">
        <f t="shared" si="4"/>
        <v>#DIV/0!</v>
      </c>
    </row>
    <row r="37" spans="2:32">
      <c r="B37" s="965"/>
      <c r="C37" s="857"/>
      <c r="D37" s="857"/>
      <c r="E37" s="857"/>
      <c r="F37" s="857"/>
      <c r="G37" s="857"/>
      <c r="H37" s="857"/>
      <c r="I37" s="857"/>
      <c r="J37" s="857"/>
      <c r="K37" s="857"/>
      <c r="L37" s="857"/>
      <c r="Z37" s="50"/>
      <c r="AA37" s="3" t="s">
        <v>643</v>
      </c>
      <c r="AB37" s="568" t="s">
        <v>751</v>
      </c>
      <c r="AC37" s="3"/>
      <c r="AD37" s="562"/>
      <c r="AE37" s="562"/>
      <c r="AF37" s="567" t="e">
        <f t="shared" si="4"/>
        <v>#DIV/0!</v>
      </c>
    </row>
    <row r="38" spans="2:32">
      <c r="B38" s="965"/>
      <c r="C38" s="857"/>
      <c r="D38" s="857"/>
      <c r="E38" s="857"/>
      <c r="F38" s="857"/>
      <c r="G38" s="857"/>
      <c r="H38" s="857"/>
      <c r="I38" s="857"/>
      <c r="J38" s="857"/>
      <c r="K38" s="857"/>
      <c r="L38" s="857"/>
      <c r="Z38" s="569"/>
      <c r="AA38" s="570"/>
      <c r="AB38" s="571"/>
      <c r="AC38" s="3"/>
      <c r="AD38" s="562"/>
      <c r="AE38" s="562"/>
      <c r="AF38" s="567" t="e">
        <f t="shared" si="4"/>
        <v>#DIV/0!</v>
      </c>
    </row>
    <row r="39" spans="2:32">
      <c r="B39" s="965"/>
      <c r="C39" s="857"/>
      <c r="D39" s="857"/>
      <c r="E39" s="857"/>
      <c r="F39" s="857"/>
      <c r="G39" s="857"/>
      <c r="H39" s="857"/>
      <c r="I39" s="857"/>
      <c r="J39" s="857"/>
      <c r="K39" s="857"/>
      <c r="L39" s="857"/>
      <c r="Z39" s="3"/>
      <c r="AA39" s="23">
        <v>0</v>
      </c>
      <c r="AB39" s="3"/>
      <c r="AC39" s="3"/>
      <c r="AD39" s="3"/>
      <c r="AE39" s="3"/>
      <c r="AF39" s="3"/>
    </row>
    <row r="40" spans="2:32">
      <c r="B40" s="965"/>
      <c r="C40" s="857"/>
      <c r="D40" s="857"/>
      <c r="E40" s="857"/>
      <c r="F40" s="857"/>
      <c r="G40" s="857"/>
      <c r="H40" s="857"/>
      <c r="I40" s="857"/>
      <c r="J40" s="857"/>
      <c r="K40" s="857"/>
      <c r="L40" s="857"/>
    </row>
    <row r="41" spans="2:32">
      <c r="B41" s="965"/>
      <c r="C41" s="857"/>
      <c r="D41" s="857"/>
      <c r="E41" s="857"/>
      <c r="F41" s="857"/>
      <c r="G41" s="857"/>
      <c r="H41" s="857"/>
      <c r="I41" s="857"/>
      <c r="J41" s="857"/>
      <c r="K41" s="857"/>
      <c r="L41" s="857"/>
    </row>
    <row r="42" spans="2:32">
      <c r="B42" s="965"/>
      <c r="C42" s="857"/>
      <c r="D42" s="857"/>
      <c r="E42" s="857"/>
      <c r="F42" s="857"/>
      <c r="G42" s="857"/>
      <c r="H42" s="857"/>
      <c r="I42" s="857"/>
      <c r="J42" s="857"/>
      <c r="K42" s="857"/>
      <c r="L42" s="857"/>
    </row>
  </sheetData>
  <sheetProtection algorithmName="SHA-512" hashValue="28YnUO7PQgLIDayzhVBdkVqXmTLuS3SNS8QztkLPCTDMOsimGrW+8LiuUf/CkaFprHTqmImXZMOOdtksSSYkXw==" saltValue="y4VXODJELzpR3OnBDAi/9A==" spinCount="100000" sheet="1" objects="1" scenarios="1"/>
  <mergeCells count="175">
    <mergeCell ref="T33:U33"/>
    <mergeCell ref="M35:N36"/>
    <mergeCell ref="K40:L40"/>
    <mergeCell ref="K41:L41"/>
    <mergeCell ref="K42:L42"/>
    <mergeCell ref="B37:B38"/>
    <mergeCell ref="B39:B40"/>
    <mergeCell ref="B41:B42"/>
    <mergeCell ref="K37:L37"/>
    <mergeCell ref="K38:L38"/>
    <mergeCell ref="K39:L39"/>
    <mergeCell ref="K35:L36"/>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B34:F34"/>
    <mergeCell ref="G34:J34"/>
    <mergeCell ref="B35:B36"/>
    <mergeCell ref="C35:D36"/>
    <mergeCell ref="E35:F36"/>
    <mergeCell ref="G35:H36"/>
    <mergeCell ref="I35:J36"/>
    <mergeCell ref="E10:F10"/>
    <mergeCell ref="E16:F16"/>
    <mergeCell ref="B16:B18"/>
    <mergeCell ref="E17:F17"/>
    <mergeCell ref="E18:F18"/>
    <mergeCell ref="G14:H14"/>
    <mergeCell ref="G15:H15"/>
    <mergeCell ref="E14:F14"/>
    <mergeCell ref="E15:F15"/>
    <mergeCell ref="G18:H18"/>
    <mergeCell ref="G17:H17"/>
    <mergeCell ref="G16:H16"/>
    <mergeCell ref="B22:F22"/>
    <mergeCell ref="B23:B24"/>
    <mergeCell ref="C24:D24"/>
    <mergeCell ref="E24:F24"/>
    <mergeCell ref="C23:D23"/>
    <mergeCell ref="N3:N6"/>
    <mergeCell ref="N10:N12"/>
    <mergeCell ref="N13:N15"/>
    <mergeCell ref="N7:N9"/>
    <mergeCell ref="A3:H3"/>
    <mergeCell ref="B7:B9"/>
    <mergeCell ref="B10:B12"/>
    <mergeCell ref="B13:B15"/>
    <mergeCell ref="G12:H12"/>
    <mergeCell ref="G13:H13"/>
    <mergeCell ref="A4:H4"/>
    <mergeCell ref="G11:H11"/>
    <mergeCell ref="E6:F6"/>
    <mergeCell ref="E7:F7"/>
    <mergeCell ref="G7:H7"/>
    <mergeCell ref="G8:H8"/>
    <mergeCell ref="E8:F8"/>
    <mergeCell ref="G10:H10"/>
    <mergeCell ref="E9:F9"/>
    <mergeCell ref="E11:F11"/>
    <mergeCell ref="E12:F12"/>
    <mergeCell ref="E13:F13"/>
    <mergeCell ref="G6:H6"/>
    <mergeCell ref="G9:H9"/>
    <mergeCell ref="C28:D28"/>
    <mergeCell ref="E28:F28"/>
    <mergeCell ref="C29:D29"/>
    <mergeCell ref="E29:F29"/>
    <mergeCell ref="G29:H29"/>
    <mergeCell ref="I29:J29"/>
    <mergeCell ref="G30:H30"/>
    <mergeCell ref="I30:J30"/>
    <mergeCell ref="E23:F23"/>
    <mergeCell ref="C30:D30"/>
    <mergeCell ref="E30:F30"/>
    <mergeCell ref="C25:D25"/>
    <mergeCell ref="E25:F25"/>
    <mergeCell ref="C26:D26"/>
    <mergeCell ref="E26:F26"/>
    <mergeCell ref="C27:D27"/>
    <mergeCell ref="E27:F27"/>
    <mergeCell ref="G22:J22"/>
    <mergeCell ref="G23:H23"/>
    <mergeCell ref="I23:J23"/>
    <mergeCell ref="G26:H26"/>
    <mergeCell ref="I26:J26"/>
    <mergeCell ref="G27:H27"/>
    <mergeCell ref="I27:J27"/>
    <mergeCell ref="G28:H28"/>
    <mergeCell ref="I28:J28"/>
    <mergeCell ref="G24:H24"/>
    <mergeCell ref="I24:J24"/>
    <mergeCell ref="G25:H25"/>
    <mergeCell ref="I25:J25"/>
    <mergeCell ref="T5:T6"/>
    <mergeCell ref="U5:V6"/>
    <mergeCell ref="W5:X6"/>
    <mergeCell ref="Y5:Z6"/>
    <mergeCell ref="AA5:AB6"/>
    <mergeCell ref="AC5:AD6"/>
    <mergeCell ref="AE5:AF6"/>
    <mergeCell ref="U7:V7"/>
    <mergeCell ref="W7:X7"/>
    <mergeCell ref="Y7:Z7"/>
    <mergeCell ref="AA7:AB7"/>
    <mergeCell ref="AC7:AD7"/>
    <mergeCell ref="T7:T9"/>
    <mergeCell ref="U8:V8"/>
    <mergeCell ref="W8:X8"/>
    <mergeCell ref="Y8:Z8"/>
    <mergeCell ref="AA8:AB8"/>
    <mergeCell ref="AC8:AD8"/>
    <mergeCell ref="U9:V9"/>
    <mergeCell ref="W9:X9"/>
    <mergeCell ref="Y9:Z9"/>
    <mergeCell ref="AA9:AB9"/>
    <mergeCell ref="AC9:AD9"/>
    <mergeCell ref="U10:V10"/>
    <mergeCell ref="W10:X10"/>
    <mergeCell ref="Y10:Z10"/>
    <mergeCell ref="AA10:AB10"/>
    <mergeCell ref="AC10:AD10"/>
    <mergeCell ref="AC15:AD15"/>
    <mergeCell ref="T10:T12"/>
    <mergeCell ref="U12:V12"/>
    <mergeCell ref="W12:X12"/>
    <mergeCell ref="U11:V11"/>
    <mergeCell ref="W11:X11"/>
    <mergeCell ref="Y11:Z11"/>
    <mergeCell ref="AA11:AB11"/>
    <mergeCell ref="AC11:AD11"/>
    <mergeCell ref="AD19:AF19"/>
    <mergeCell ref="T29:T31"/>
    <mergeCell ref="T19:X19"/>
    <mergeCell ref="T20:T22"/>
    <mergeCell ref="T23:T25"/>
    <mergeCell ref="T26:T28"/>
    <mergeCell ref="Y12:Z12"/>
    <mergeCell ref="AA12:AB12"/>
    <mergeCell ref="AC12:AD12"/>
    <mergeCell ref="T13:T15"/>
    <mergeCell ref="U13:V13"/>
    <mergeCell ref="W13:X13"/>
    <mergeCell ref="Y13:Z13"/>
    <mergeCell ref="AA13:AB13"/>
    <mergeCell ref="AC13:AD13"/>
    <mergeCell ref="U14:V14"/>
    <mergeCell ref="W14:X14"/>
    <mergeCell ref="Y14:Z14"/>
    <mergeCell ref="AA14:AB14"/>
    <mergeCell ref="AC14:AD14"/>
    <mergeCell ref="U15:V15"/>
    <mergeCell ref="W15:X15"/>
    <mergeCell ref="Y15:Z15"/>
    <mergeCell ref="AA15:AB15"/>
  </mergeCells>
  <conditionalFormatting sqref="B25:J30">
    <cfRule type="containsErrors" dxfId="324" priority="12">
      <formula>ISERROR(B25)</formula>
    </cfRule>
  </conditionalFormatting>
  <conditionalFormatting sqref="B37:M42">
    <cfRule type="containsErrors" dxfId="323" priority="11">
      <formula>ISERROR(B37)</formula>
    </cfRule>
  </conditionalFormatting>
  <conditionalFormatting sqref="D7:H18">
    <cfRule type="containsErrors" dxfId="322" priority="10">
      <formula>ISERROR(D7)</formula>
    </cfRule>
  </conditionalFormatting>
  <conditionalFormatting sqref="T10:AD10 U11:AD12">
    <cfRule type="containsErrors" dxfId="321" priority="8">
      <formula>ISERROR(T10)</formula>
    </cfRule>
  </conditionalFormatting>
  <conditionalFormatting sqref="T13:AD13 U14:AD15">
    <cfRule type="containsErrors" dxfId="320" priority="7">
      <formula>ISERROR(T13)</formula>
    </cfRule>
  </conditionalFormatting>
  <conditionalFormatting sqref="T7:AE7 U8:AE9 AE10:AE12">
    <cfRule type="containsErrors" dxfId="319" priority="9">
      <formula>ISERROR(T7)</formula>
    </cfRule>
  </conditionalFormatting>
  <conditionalFormatting sqref="U34:U35">
    <cfRule type="cellIs" dxfId="318" priority="2" operator="equal">
      <formula>49.21</formula>
    </cfRule>
  </conditionalFormatting>
  <conditionalFormatting sqref="V20:X31">
    <cfRule type="containsErrors" dxfId="317" priority="6">
      <formula>ISERROR(V20)</formula>
    </cfRule>
  </conditionalFormatting>
  <conditionalFormatting sqref="W20:W31">
    <cfRule type="cellIs" dxfId="316" priority="5" operator="equal">
      <formula>49.21</formula>
    </cfRule>
  </conditionalFormatting>
  <conditionalFormatting sqref="W7:X15">
    <cfRule type="cellIs" dxfId="315" priority="4" operator="lessThanOrEqual">
      <formula>0</formula>
    </cfRule>
  </conditionalFormatting>
  <conditionalFormatting sqref="AF21:AF38">
    <cfRule type="containsErrors" dxfId="314" priority="1">
      <formula>ISERROR(AF21)</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
  <dimension ref="A1:AG39"/>
  <sheetViews>
    <sheetView showGridLines="0" showRowColHeaders="0" topLeftCell="A4" workbookViewId="0">
      <selection activeCell="S40" sqref="S40"/>
    </sheetView>
  </sheetViews>
  <sheetFormatPr defaultRowHeight="15"/>
  <cols>
    <col min="9" max="9" width="12.5703125" bestFit="1" customWidth="1"/>
    <col min="16" max="16" width="17.85546875" customWidth="1"/>
  </cols>
  <sheetData>
    <row r="1" spans="1:33">
      <c r="A1" s="1"/>
      <c r="B1" s="857"/>
      <c r="C1" s="857"/>
    </row>
    <row r="2" spans="1:33">
      <c r="A2" s="3"/>
      <c r="B2" s="857"/>
      <c r="C2" s="857"/>
    </row>
    <row r="3" spans="1:33">
      <c r="B3" s="51"/>
      <c r="C3" s="1"/>
      <c r="D3" s="1"/>
      <c r="E3" s="1"/>
      <c r="F3" s="1"/>
      <c r="G3" s="1"/>
      <c r="K3" s="1"/>
      <c r="L3" s="1"/>
      <c r="M3" s="1"/>
      <c r="N3" s="1"/>
      <c r="O3" s="1"/>
      <c r="P3" s="1"/>
    </row>
    <row r="4" spans="1:33">
      <c r="B4" s="3"/>
      <c r="C4" s="3"/>
      <c r="D4" s="3"/>
      <c r="E4" s="3"/>
      <c r="F4" s="3"/>
      <c r="G4" s="3"/>
      <c r="K4" s="1"/>
      <c r="L4" s="1"/>
      <c r="M4" s="1"/>
      <c r="N4" s="1"/>
      <c r="O4" s="1"/>
      <c r="P4" s="1"/>
    </row>
    <row r="5" spans="1:33">
      <c r="B5" s="3"/>
      <c r="C5" s="3"/>
      <c r="D5" s="3"/>
      <c r="E5" s="3"/>
      <c r="F5" s="3"/>
      <c r="G5" s="3"/>
      <c r="H5" s="3"/>
      <c r="I5" s="1"/>
      <c r="J5" s="1"/>
      <c r="K5" s="1"/>
      <c r="L5" s="1"/>
      <c r="M5" s="1"/>
      <c r="N5" s="1"/>
      <c r="O5" s="1"/>
      <c r="P5" s="1"/>
      <c r="R5" s="978" t="s">
        <v>87</v>
      </c>
      <c r="S5" s="978" t="s">
        <v>72</v>
      </c>
      <c r="T5" s="978" t="s">
        <v>745</v>
      </c>
      <c r="U5" s="978" t="s">
        <v>117</v>
      </c>
      <c r="V5" s="978" t="s">
        <v>735</v>
      </c>
      <c r="W5" s="978" t="s">
        <v>736</v>
      </c>
      <c r="X5" s="978" t="s">
        <v>737</v>
      </c>
      <c r="Y5" s="978" t="s">
        <v>119</v>
      </c>
      <c r="Z5" s="978" t="s">
        <v>738</v>
      </c>
      <c r="AA5" s="978" t="s">
        <v>739</v>
      </c>
      <c r="AB5" s="978" t="s">
        <v>740</v>
      </c>
      <c r="AC5" s="978" t="s">
        <v>741</v>
      </c>
      <c r="AD5" s="979" t="s">
        <v>69</v>
      </c>
      <c r="AE5" s="979"/>
      <c r="AF5" s="979" t="s">
        <v>55</v>
      </c>
      <c r="AG5" s="979"/>
    </row>
    <row r="6" spans="1:33">
      <c r="B6" s="1"/>
      <c r="C6" s="1"/>
      <c r="D6" s="984" t="s">
        <v>101</v>
      </c>
      <c r="E6" s="984"/>
      <c r="F6" s="984"/>
      <c r="G6" s="984"/>
      <c r="H6" s="984"/>
      <c r="I6" s="984"/>
      <c r="J6" s="984"/>
      <c r="K6" s="984"/>
      <c r="L6" s="984"/>
      <c r="M6" s="984"/>
      <c r="N6" s="984"/>
      <c r="O6" s="984"/>
      <c r="P6" s="984"/>
      <c r="R6" s="978"/>
      <c r="S6" s="978"/>
      <c r="T6" s="978"/>
      <c r="U6" s="978"/>
      <c r="V6" s="978"/>
      <c r="W6" s="978"/>
      <c r="X6" s="978"/>
      <c r="Y6" s="978"/>
      <c r="Z6" s="978"/>
      <c r="AA6" s="978"/>
      <c r="AB6" s="978"/>
      <c r="AC6" s="978"/>
      <c r="AD6" s="979"/>
      <c r="AE6" s="979"/>
      <c r="AF6" s="979"/>
      <c r="AG6" s="979"/>
    </row>
    <row r="7" spans="1:33">
      <c r="B7" s="978" t="s">
        <v>87</v>
      </c>
      <c r="C7" s="978" t="s">
        <v>72</v>
      </c>
      <c r="D7" s="978" t="s">
        <v>88</v>
      </c>
      <c r="E7" s="978" t="s">
        <v>89</v>
      </c>
      <c r="F7" s="978" t="s">
        <v>90</v>
      </c>
      <c r="G7" s="978" t="s">
        <v>182</v>
      </c>
      <c r="H7" s="978" t="s">
        <v>11</v>
      </c>
      <c r="I7" s="978" t="s">
        <v>13</v>
      </c>
      <c r="J7" s="978" t="s">
        <v>183</v>
      </c>
      <c r="K7" s="978" t="s">
        <v>184</v>
      </c>
      <c r="L7" s="978" t="s">
        <v>185</v>
      </c>
      <c r="M7" s="978" t="s">
        <v>525</v>
      </c>
      <c r="N7" s="979" t="s">
        <v>69</v>
      </c>
      <c r="O7" s="979"/>
      <c r="P7" s="979" t="s">
        <v>55</v>
      </c>
      <c r="R7" s="978"/>
      <c r="S7" s="978"/>
      <c r="T7" s="978"/>
      <c r="U7" s="978"/>
      <c r="V7" s="978"/>
      <c r="W7" s="978"/>
      <c r="X7" s="978"/>
      <c r="Y7" s="978"/>
      <c r="Z7" s="978"/>
      <c r="AA7" s="978"/>
      <c r="AB7" s="978"/>
      <c r="AC7" s="978"/>
      <c r="AD7" s="979"/>
      <c r="AE7" s="979"/>
      <c r="AF7" s="979"/>
      <c r="AG7" s="979"/>
    </row>
    <row r="8" spans="1:33">
      <c r="B8" s="978"/>
      <c r="C8" s="978"/>
      <c r="D8" s="978"/>
      <c r="E8" s="978"/>
      <c r="F8" s="978"/>
      <c r="G8" s="978"/>
      <c r="H8" s="978"/>
      <c r="I8" s="978"/>
      <c r="J8" s="978"/>
      <c r="K8" s="978"/>
      <c r="L8" s="978"/>
      <c r="M8" s="978"/>
      <c r="N8" s="979"/>
      <c r="O8" s="979"/>
      <c r="P8" s="979"/>
      <c r="R8" s="978"/>
      <c r="S8" s="978"/>
      <c r="T8" s="978"/>
      <c r="U8" s="978"/>
      <c r="V8" s="978"/>
      <c r="W8" s="978"/>
      <c r="X8" s="978"/>
      <c r="Y8" s="978"/>
      <c r="Z8" s="978"/>
      <c r="AA8" s="978"/>
      <c r="AB8" s="978"/>
      <c r="AC8" s="978"/>
      <c r="AD8" s="979"/>
      <c r="AE8" s="979"/>
      <c r="AF8" s="979"/>
      <c r="AG8" s="979"/>
    </row>
    <row r="9" spans="1:33">
      <c r="B9" s="980" t="s">
        <v>95</v>
      </c>
      <c r="C9" s="807">
        <v>1</v>
      </c>
      <c r="D9" s="808">
        <f>Sismik!P7</f>
        <v>0</v>
      </c>
      <c r="E9" s="808">
        <f>Sismik!Q7</f>
        <v>0</v>
      </c>
      <c r="F9" s="982">
        <f>Sismik!C8</f>
        <v>0</v>
      </c>
      <c r="G9" s="776">
        <f>Sismik!S7</f>
        <v>0</v>
      </c>
      <c r="H9" s="776" t="e">
        <f>Sismik!T7</f>
        <v>#DIV/0!</v>
      </c>
      <c r="I9" s="809" t="e">
        <f>Sismik!U7</f>
        <v>#DIV/0!</v>
      </c>
      <c r="J9" s="808">
        <f>Sismik!V7</f>
        <v>0</v>
      </c>
      <c r="K9" s="810" t="e">
        <f>Sismik!W7</f>
        <v>#DIV/0!</v>
      </c>
      <c r="L9" s="808">
        <f>Sismik!X7</f>
        <v>0</v>
      </c>
      <c r="M9" s="988">
        <f>Sismik!Y7</f>
        <v>0</v>
      </c>
      <c r="N9" s="972">
        <f>Sismik!Z7</f>
        <v>0</v>
      </c>
      <c r="O9" s="973"/>
      <c r="P9" s="983">
        <f>Sismik!AB7</f>
        <v>0</v>
      </c>
      <c r="R9" s="980" t="s">
        <v>95</v>
      </c>
      <c r="S9" s="807">
        <v>1</v>
      </c>
      <c r="T9" s="815" t="e">
        <f>Sismik!C17</f>
        <v>#DIV/0!</v>
      </c>
      <c r="U9" s="808">
        <f>Sismik!D16</f>
        <v>0</v>
      </c>
      <c r="V9" s="982" t="e">
        <f>Sismik!C15</f>
        <v>#DIV/0!</v>
      </c>
      <c r="W9" s="815" t="e">
        <f>Sismik!C18</f>
        <v>#DIV/0!</v>
      </c>
      <c r="X9" s="815" t="e">
        <f>Sismik!C20</f>
        <v>#DIV/0!</v>
      </c>
      <c r="Y9" s="809" t="e">
        <f>Sismik!C21</f>
        <v>#NUM!</v>
      </c>
      <c r="Z9" s="808" t="e">
        <f>Sismik!C24</f>
        <v>#DIV/0!</v>
      </c>
      <c r="AA9" s="810">
        <f>Sismik!C19</f>
        <v>0</v>
      </c>
      <c r="AB9" s="976" t="e">
        <f>Sismik!C22</f>
        <v>#DIV/0!</v>
      </c>
      <c r="AC9" s="976" t="e">
        <f>Sismik!C23</f>
        <v>#DIV/0!</v>
      </c>
      <c r="AD9" s="972">
        <f>N9</f>
        <v>0</v>
      </c>
      <c r="AE9" s="973"/>
      <c r="AF9" s="968">
        <f>P9</f>
        <v>0</v>
      </c>
      <c r="AG9" s="969"/>
    </row>
    <row r="10" spans="1:33">
      <c r="B10" s="981"/>
      <c r="C10" s="811">
        <v>2</v>
      </c>
      <c r="D10" s="812">
        <f>Sismik!P8</f>
        <v>0</v>
      </c>
      <c r="E10" s="812">
        <f>Sismik!Q8</f>
        <v>0</v>
      </c>
      <c r="F10" s="982"/>
      <c r="G10" s="769">
        <f>Sismik!S8</f>
        <v>0</v>
      </c>
      <c r="H10" s="769" t="e">
        <f>Sismik!T8</f>
        <v>#DIV/0!</v>
      </c>
      <c r="I10" s="813" t="e">
        <f>Sismik!U8</f>
        <v>#DIV/0!</v>
      </c>
      <c r="J10" s="812">
        <f>Sismik!V8</f>
        <v>0</v>
      </c>
      <c r="K10" s="814" t="e">
        <f>Sismik!W8</f>
        <v>#DIV/0!</v>
      </c>
      <c r="L10" s="812">
        <f>Sismik!X8</f>
        <v>0</v>
      </c>
      <c r="M10" s="988"/>
      <c r="N10" s="985">
        <f>Sismik!Z8</f>
        <v>0</v>
      </c>
      <c r="O10" s="986"/>
      <c r="P10" s="967"/>
      <c r="R10" s="981"/>
      <c r="S10" s="811">
        <v>2</v>
      </c>
      <c r="T10" s="816" t="e">
        <f>Sismik!D17</f>
        <v>#DIV/0!</v>
      </c>
      <c r="U10" s="808">
        <f>Sismik!D16</f>
        <v>0</v>
      </c>
      <c r="V10" s="982"/>
      <c r="W10" s="816" t="e">
        <f>Sismik!D18</f>
        <v>#DIV/0!</v>
      </c>
      <c r="X10" s="815" t="e">
        <f>Sismik!D20</f>
        <v>#DIV/0!</v>
      </c>
      <c r="Y10" s="809" t="e">
        <f>Sismik!D21</f>
        <v>#NUM!</v>
      </c>
      <c r="Z10" s="808" t="e">
        <f>Sismik!D24</f>
        <v>#DIV/0!</v>
      </c>
      <c r="AA10" s="810">
        <f>Sismik!D19</f>
        <v>0</v>
      </c>
      <c r="AB10" s="976"/>
      <c r="AC10" s="976"/>
      <c r="AD10" s="972">
        <f t="shared" ref="AD10:AD20" si="0">N10</f>
        <v>0</v>
      </c>
      <c r="AE10" s="973"/>
      <c r="AF10" s="970"/>
      <c r="AG10" s="971"/>
    </row>
    <row r="11" spans="1:33">
      <c r="B11" s="974" t="s">
        <v>96</v>
      </c>
      <c r="C11" s="811">
        <v>1</v>
      </c>
      <c r="D11" s="808">
        <f>Sismik!P9</f>
        <v>0</v>
      </c>
      <c r="E11" s="808">
        <f>Sismik!Q9</f>
        <v>0</v>
      </c>
      <c r="F11" s="975">
        <f>Sismik!R9</f>
        <v>0</v>
      </c>
      <c r="G11" s="776">
        <f>Sismik!S9</f>
        <v>0</v>
      </c>
      <c r="H11" s="776" t="e">
        <f>Sismik!T9</f>
        <v>#DIV/0!</v>
      </c>
      <c r="I11" s="809" t="e">
        <f>Sismik!U9</f>
        <v>#DIV/0!</v>
      </c>
      <c r="J11" s="808">
        <f>Sismik!V9</f>
        <v>0</v>
      </c>
      <c r="K11" s="810" t="e">
        <f>Sismik!W9</f>
        <v>#DIV/0!</v>
      </c>
      <c r="L11" s="808">
        <f>Sismik!X9</f>
        <v>0</v>
      </c>
      <c r="M11" s="987">
        <f>Sismik!Y9</f>
        <v>0</v>
      </c>
      <c r="N11" s="972">
        <f>Sismik!Z9</f>
        <v>0</v>
      </c>
      <c r="O11" s="973"/>
      <c r="P11" s="966">
        <f>Sismik!AB9</f>
        <v>0</v>
      </c>
      <c r="R11" s="974" t="s">
        <v>96</v>
      </c>
      <c r="S11" s="811">
        <v>1</v>
      </c>
      <c r="T11" s="815" t="e">
        <f>Sismik!C44</f>
        <v>#DIV/0!</v>
      </c>
      <c r="U11" s="808">
        <f>Sismik!C43</f>
        <v>0</v>
      </c>
      <c r="V11" s="975" t="e">
        <f>Sismik!C42</f>
        <v>#DIV/0!</v>
      </c>
      <c r="W11" s="815" t="e">
        <f>Sismik!C45</f>
        <v>#DIV/0!</v>
      </c>
      <c r="X11" s="815" t="e">
        <f>Sismik!C47</f>
        <v>#DIV/0!</v>
      </c>
      <c r="Y11" s="809" t="e">
        <f>Sismik!C48</f>
        <v>#NUM!</v>
      </c>
      <c r="Z11" s="808" t="e">
        <f>Sismik!C51</f>
        <v>#DIV/0!</v>
      </c>
      <c r="AA11" s="810">
        <f>Sismik!C46</f>
        <v>0</v>
      </c>
      <c r="AB11" s="976" t="e">
        <f>Sismik!C49</f>
        <v>#DIV/0!</v>
      </c>
      <c r="AC11" s="976" t="e">
        <f>Sismik!C50</f>
        <v>#DIV/0!</v>
      </c>
      <c r="AD11" s="972">
        <f t="shared" si="0"/>
        <v>0</v>
      </c>
      <c r="AE11" s="973"/>
      <c r="AF11" s="968">
        <f t="shared" ref="AF11" si="1">P11</f>
        <v>0</v>
      </c>
      <c r="AG11" s="969"/>
    </row>
    <row r="12" spans="1:33">
      <c r="B12" s="974"/>
      <c r="C12" s="811">
        <v>2</v>
      </c>
      <c r="D12" s="812">
        <f>Sismik!P10</f>
        <v>0</v>
      </c>
      <c r="E12" s="812">
        <f>Sismik!Q10</f>
        <v>0</v>
      </c>
      <c r="F12" s="975"/>
      <c r="G12" s="769">
        <f>Sismik!S10</f>
        <v>0</v>
      </c>
      <c r="H12" s="769" t="e">
        <f>Sismik!T10</f>
        <v>#DIV/0!</v>
      </c>
      <c r="I12" s="813" t="e">
        <f>Sismik!U10</f>
        <v>#DIV/0!</v>
      </c>
      <c r="J12" s="812">
        <f>Sismik!V10</f>
        <v>0</v>
      </c>
      <c r="K12" s="814" t="e">
        <f>Sismik!W10</f>
        <v>#DIV/0!</v>
      </c>
      <c r="L12" s="812">
        <f>Sismik!X10</f>
        <v>0</v>
      </c>
      <c r="M12" s="987"/>
      <c r="N12" s="985">
        <f>Sismik!Z10</f>
        <v>0</v>
      </c>
      <c r="O12" s="986"/>
      <c r="P12" s="967"/>
      <c r="R12" s="974"/>
      <c r="S12" s="811">
        <v>2</v>
      </c>
      <c r="T12" s="815" t="e">
        <f>Sismik!D44</f>
        <v>#DIV/0!</v>
      </c>
      <c r="U12" s="808">
        <f>Sismik!D43</f>
        <v>0</v>
      </c>
      <c r="V12" s="975"/>
      <c r="W12" s="815" t="e">
        <f>Sismik!D45</f>
        <v>#DIV/0!</v>
      </c>
      <c r="X12" s="815" t="e">
        <f>Sismik!D47</f>
        <v>#DIV/0!</v>
      </c>
      <c r="Y12" s="809" t="e">
        <f>Sismik!D48</f>
        <v>#NUM!</v>
      </c>
      <c r="Z12" s="808" t="e">
        <f>Sismik!D51</f>
        <v>#DIV/0!</v>
      </c>
      <c r="AA12" s="810">
        <f>Sismik!D46</f>
        <v>0</v>
      </c>
      <c r="AB12" s="976"/>
      <c r="AC12" s="976"/>
      <c r="AD12" s="972">
        <f t="shared" si="0"/>
        <v>0</v>
      </c>
      <c r="AE12" s="973"/>
      <c r="AF12" s="970"/>
      <c r="AG12" s="971"/>
    </row>
    <row r="13" spans="1:33">
      <c r="B13" s="974" t="s">
        <v>97</v>
      </c>
      <c r="C13" s="811">
        <v>1</v>
      </c>
      <c r="D13" s="808">
        <f>Sismik!P11</f>
        <v>0</v>
      </c>
      <c r="E13" s="808">
        <f>Sismik!Q11</f>
        <v>0</v>
      </c>
      <c r="F13" s="982">
        <f>Sismik!R11</f>
        <v>0</v>
      </c>
      <c r="G13" s="776">
        <f>Sismik!S11</f>
        <v>0</v>
      </c>
      <c r="H13" s="776" t="e">
        <f>Sismik!T11</f>
        <v>#DIV/0!</v>
      </c>
      <c r="I13" s="809" t="e">
        <f>Sismik!U11</f>
        <v>#DIV/0!</v>
      </c>
      <c r="J13" s="808">
        <f>Sismik!V11</f>
        <v>0</v>
      </c>
      <c r="K13" s="810" t="e">
        <f>Sismik!W11</f>
        <v>#DIV/0!</v>
      </c>
      <c r="L13" s="808">
        <f>Sismik!X11</f>
        <v>0</v>
      </c>
      <c r="M13" s="987">
        <f>Sismik!Y11</f>
        <v>0</v>
      </c>
      <c r="N13" s="972">
        <f>Sismik!Z11</f>
        <v>0</v>
      </c>
      <c r="O13" s="973"/>
      <c r="P13" s="966">
        <f>Sismik!AB11</f>
        <v>0</v>
      </c>
      <c r="R13" s="974" t="s">
        <v>97</v>
      </c>
      <c r="S13" s="811">
        <v>1</v>
      </c>
      <c r="T13" s="815" t="e">
        <f>Sismik!C70</f>
        <v>#DIV/0!</v>
      </c>
      <c r="U13" s="808">
        <f>Sismik!C69</f>
        <v>0</v>
      </c>
      <c r="V13" s="975" t="e">
        <f>Sismik!C68</f>
        <v>#DIV/0!</v>
      </c>
      <c r="W13" s="815" t="e">
        <f>Sismik!C71</f>
        <v>#DIV/0!</v>
      </c>
      <c r="X13" s="815" t="e">
        <f>Sismik!C73</f>
        <v>#DIV/0!</v>
      </c>
      <c r="Y13" s="809" t="e">
        <f>Sismik!C74</f>
        <v>#NUM!</v>
      </c>
      <c r="Z13" s="808" t="e">
        <f>Sismik!C77</f>
        <v>#DIV/0!</v>
      </c>
      <c r="AA13" s="810">
        <f>Sismik!C72</f>
        <v>0</v>
      </c>
      <c r="AB13" s="976" t="e">
        <f>Sismik!C75</f>
        <v>#DIV/0!</v>
      </c>
      <c r="AC13" s="976" t="e">
        <f>Sismik!C76</f>
        <v>#DIV/0!</v>
      </c>
      <c r="AD13" s="972">
        <f t="shared" si="0"/>
        <v>0</v>
      </c>
      <c r="AE13" s="973"/>
      <c r="AF13" s="968">
        <f t="shared" ref="AF13" si="2">P13</f>
        <v>0</v>
      </c>
      <c r="AG13" s="969"/>
    </row>
    <row r="14" spans="1:33">
      <c r="B14" s="974"/>
      <c r="C14" s="811">
        <v>2</v>
      </c>
      <c r="D14" s="812">
        <f>Sismik!P12</f>
        <v>0</v>
      </c>
      <c r="E14" s="812">
        <f>Sismik!Q12</f>
        <v>0</v>
      </c>
      <c r="F14" s="982"/>
      <c r="G14" s="769">
        <f>Sismik!S12</f>
        <v>0</v>
      </c>
      <c r="H14" s="769" t="e">
        <f>Sismik!T12</f>
        <v>#DIV/0!</v>
      </c>
      <c r="I14" s="813" t="e">
        <f>Sismik!U12</f>
        <v>#DIV/0!</v>
      </c>
      <c r="J14" s="812">
        <f>Sismik!V12</f>
        <v>0</v>
      </c>
      <c r="K14" s="814" t="e">
        <f>Sismik!W12</f>
        <v>#DIV/0!</v>
      </c>
      <c r="L14" s="812">
        <f>Sismik!X12</f>
        <v>0</v>
      </c>
      <c r="M14" s="987"/>
      <c r="N14" s="985">
        <f>Sismik!Z12</f>
        <v>0</v>
      </c>
      <c r="O14" s="986"/>
      <c r="P14" s="967"/>
      <c r="R14" s="974"/>
      <c r="S14" s="811">
        <v>2</v>
      </c>
      <c r="T14" s="815" t="e">
        <f>Sismik!D70</f>
        <v>#DIV/0!</v>
      </c>
      <c r="U14" s="808">
        <f>Sismik!D69</f>
        <v>0</v>
      </c>
      <c r="V14" s="975"/>
      <c r="W14" s="815" t="e">
        <f>Sismik!D71</f>
        <v>#DIV/0!</v>
      </c>
      <c r="X14" s="815" t="e">
        <f>Sismik!D73</f>
        <v>#DIV/0!</v>
      </c>
      <c r="Y14" s="809" t="e">
        <f>Sismik!D74</f>
        <v>#NUM!</v>
      </c>
      <c r="Z14" s="808" t="e">
        <f>Sismik!D77</f>
        <v>#DIV/0!</v>
      </c>
      <c r="AA14" s="810">
        <f>Sismik!D72</f>
        <v>0</v>
      </c>
      <c r="AB14" s="976"/>
      <c r="AC14" s="976"/>
      <c r="AD14" s="972">
        <f t="shared" si="0"/>
        <v>0</v>
      </c>
      <c r="AE14" s="973"/>
      <c r="AF14" s="970"/>
      <c r="AG14" s="971"/>
    </row>
    <row r="15" spans="1:33">
      <c r="B15" s="974" t="s">
        <v>98</v>
      </c>
      <c r="C15" s="811">
        <v>1</v>
      </c>
      <c r="D15" s="808">
        <f>Sismik!P13</f>
        <v>0</v>
      </c>
      <c r="E15" s="808">
        <f>Sismik!Q13</f>
        <v>0</v>
      </c>
      <c r="F15" s="975">
        <f>Sismik!R13</f>
        <v>0</v>
      </c>
      <c r="G15" s="776">
        <f>Sismik!S13</f>
        <v>0</v>
      </c>
      <c r="H15" s="776" t="e">
        <f>Sismik!T13</f>
        <v>#DIV/0!</v>
      </c>
      <c r="I15" s="809" t="e">
        <f>Sismik!U13</f>
        <v>#DIV/0!</v>
      </c>
      <c r="J15" s="808">
        <f>Sismik!V13</f>
        <v>0</v>
      </c>
      <c r="K15" s="810" t="e">
        <f>Sismik!W13</f>
        <v>#DIV/0!</v>
      </c>
      <c r="L15" s="808">
        <f>Sismik!X13</f>
        <v>0</v>
      </c>
      <c r="M15" s="987">
        <f>Sismik!Y13</f>
        <v>0</v>
      </c>
      <c r="N15" s="972">
        <f>Sismik!Z13</f>
        <v>0</v>
      </c>
      <c r="O15" s="973"/>
      <c r="P15" s="966">
        <f>Sismik!AB13</f>
        <v>0</v>
      </c>
      <c r="R15" s="974" t="s">
        <v>98</v>
      </c>
      <c r="S15" s="811">
        <v>1</v>
      </c>
      <c r="T15" s="815" t="e">
        <f>Sismik!C96</f>
        <v>#DIV/0!</v>
      </c>
      <c r="U15" s="808">
        <f>Sismik!C95</f>
        <v>0</v>
      </c>
      <c r="V15" s="975" t="e">
        <f>Sismik!C94</f>
        <v>#DIV/0!</v>
      </c>
      <c r="W15" s="815" t="e">
        <f>Sismik!C97</f>
        <v>#DIV/0!</v>
      </c>
      <c r="X15" s="815" t="e">
        <f>Sismik!C99</f>
        <v>#DIV/0!</v>
      </c>
      <c r="Y15" s="809" t="e">
        <f>Sismik!C100</f>
        <v>#NUM!</v>
      </c>
      <c r="Z15" s="808" t="e">
        <f>Sismik!C103</f>
        <v>#DIV/0!</v>
      </c>
      <c r="AA15" s="810">
        <f>Sismik!C98</f>
        <v>0</v>
      </c>
      <c r="AB15" s="976" t="e">
        <f>Sismik!C101</f>
        <v>#DIV/0!</v>
      </c>
      <c r="AC15" s="976" t="e">
        <f>Sismik!C102</f>
        <v>#DIV/0!</v>
      </c>
      <c r="AD15" s="972">
        <f t="shared" si="0"/>
        <v>0</v>
      </c>
      <c r="AE15" s="973"/>
      <c r="AF15" s="968">
        <f t="shared" ref="AF15" si="3">P15</f>
        <v>0</v>
      </c>
      <c r="AG15" s="969"/>
    </row>
    <row r="16" spans="1:33">
      <c r="B16" s="974"/>
      <c r="C16" s="811">
        <v>2</v>
      </c>
      <c r="D16" s="812">
        <f>Sismik!P14</f>
        <v>0</v>
      </c>
      <c r="E16" s="812">
        <f>Sismik!Q14</f>
        <v>0</v>
      </c>
      <c r="F16" s="975"/>
      <c r="G16" s="769">
        <f>Sismik!S14</f>
        <v>0</v>
      </c>
      <c r="H16" s="769" t="e">
        <f>Sismik!T14</f>
        <v>#DIV/0!</v>
      </c>
      <c r="I16" s="813" t="e">
        <f>Sismik!U14</f>
        <v>#DIV/0!</v>
      </c>
      <c r="J16" s="812">
        <f>Sismik!V14</f>
        <v>0</v>
      </c>
      <c r="K16" s="814" t="e">
        <f>Sismik!W14</f>
        <v>#DIV/0!</v>
      </c>
      <c r="L16" s="812">
        <f>Sismik!X14</f>
        <v>0</v>
      </c>
      <c r="M16" s="987"/>
      <c r="N16" s="985">
        <f>Sismik!Z14</f>
        <v>0</v>
      </c>
      <c r="O16" s="986"/>
      <c r="P16" s="967"/>
      <c r="R16" s="974"/>
      <c r="S16" s="811">
        <v>2</v>
      </c>
      <c r="T16" s="815" t="e">
        <f>Sismik!D96</f>
        <v>#DIV/0!</v>
      </c>
      <c r="U16" s="808">
        <f>Sismik!D95</f>
        <v>0</v>
      </c>
      <c r="V16" s="975"/>
      <c r="W16" s="815" t="e">
        <f>Sismik!D97</f>
        <v>#DIV/0!</v>
      </c>
      <c r="X16" s="815" t="e">
        <f>Sismik!D99</f>
        <v>#DIV/0!</v>
      </c>
      <c r="Y16" s="809" t="e">
        <f>Sismik!D100</f>
        <v>#NUM!</v>
      </c>
      <c r="Z16" s="808" t="e">
        <f>Sismik!D103</f>
        <v>#DIV/0!</v>
      </c>
      <c r="AA16" s="810">
        <f>Sismik!D98</f>
        <v>0</v>
      </c>
      <c r="AB16" s="976"/>
      <c r="AC16" s="976"/>
      <c r="AD16" s="972">
        <f t="shared" si="0"/>
        <v>0</v>
      </c>
      <c r="AE16" s="973"/>
      <c r="AF16" s="970"/>
      <c r="AG16" s="971"/>
    </row>
    <row r="17" spans="2:33">
      <c r="B17" s="974" t="s">
        <v>99</v>
      </c>
      <c r="C17" s="811">
        <v>1</v>
      </c>
      <c r="D17" s="808">
        <f>Sismik!P15</f>
        <v>0</v>
      </c>
      <c r="E17" s="808">
        <f>Sismik!Q15</f>
        <v>0</v>
      </c>
      <c r="F17" s="982">
        <f>Sismik!R15</f>
        <v>0</v>
      </c>
      <c r="G17" s="776">
        <f>Sismik!S15</f>
        <v>0</v>
      </c>
      <c r="H17" s="776" t="e">
        <f>Sismik!T15</f>
        <v>#DIV/0!</v>
      </c>
      <c r="I17" s="809" t="e">
        <f>Sismik!U15</f>
        <v>#DIV/0!</v>
      </c>
      <c r="J17" s="808">
        <f>Sismik!V15</f>
        <v>0</v>
      </c>
      <c r="K17" s="810" t="e">
        <f>Sismik!W15</f>
        <v>#DIV/0!</v>
      </c>
      <c r="L17" s="808">
        <f>Sismik!X15</f>
        <v>0</v>
      </c>
      <c r="M17" s="987">
        <f>Sismik!Y15</f>
        <v>0</v>
      </c>
      <c r="N17" s="972">
        <f>Sismik!Z15</f>
        <v>0</v>
      </c>
      <c r="O17" s="973"/>
      <c r="P17" s="966">
        <f>Sismik!AB15</f>
        <v>0</v>
      </c>
      <c r="R17" s="974" t="s">
        <v>99</v>
      </c>
      <c r="S17" s="811">
        <v>1</v>
      </c>
      <c r="T17" s="815" t="e">
        <f>Sismik!C122</f>
        <v>#DIV/0!</v>
      </c>
      <c r="U17" s="808">
        <f>Sismik!C121</f>
        <v>0</v>
      </c>
      <c r="V17" s="975" t="e">
        <f>Sismik!C120</f>
        <v>#DIV/0!</v>
      </c>
      <c r="W17" s="815" t="e">
        <f>Sismik!C123</f>
        <v>#DIV/0!</v>
      </c>
      <c r="X17" s="815" t="e">
        <f>Sismik!C125</f>
        <v>#DIV/0!</v>
      </c>
      <c r="Y17" s="809" t="e">
        <f>Sismik!C126</f>
        <v>#NUM!</v>
      </c>
      <c r="Z17" s="808" t="e">
        <f>Sismik!C129</f>
        <v>#DIV/0!</v>
      </c>
      <c r="AA17" s="810">
        <f>Sismik!C124</f>
        <v>0</v>
      </c>
      <c r="AB17" s="976" t="e">
        <f>Sismik!C127</f>
        <v>#DIV/0!</v>
      </c>
      <c r="AC17" s="976" t="e">
        <f>Sismik!C128</f>
        <v>#DIV/0!</v>
      </c>
      <c r="AD17" s="972">
        <f t="shared" si="0"/>
        <v>0</v>
      </c>
      <c r="AE17" s="973"/>
      <c r="AF17" s="968">
        <f t="shared" ref="AF17" si="4">P17</f>
        <v>0</v>
      </c>
      <c r="AG17" s="969"/>
    </row>
    <row r="18" spans="2:33">
      <c r="B18" s="974"/>
      <c r="C18" s="811">
        <v>2</v>
      </c>
      <c r="D18" s="812">
        <f>Sismik!P16</f>
        <v>0</v>
      </c>
      <c r="E18" s="812">
        <f>Sismik!Q16</f>
        <v>0</v>
      </c>
      <c r="F18" s="982"/>
      <c r="G18" s="769">
        <f>Sismik!S16</f>
        <v>0</v>
      </c>
      <c r="H18" s="769" t="e">
        <f>Sismik!T16</f>
        <v>#DIV/0!</v>
      </c>
      <c r="I18" s="813" t="e">
        <f>Sismik!U16</f>
        <v>#DIV/0!</v>
      </c>
      <c r="J18" s="812">
        <f>Sismik!V16</f>
        <v>0</v>
      </c>
      <c r="K18" s="814" t="e">
        <f>Sismik!W16</f>
        <v>#DIV/0!</v>
      </c>
      <c r="L18" s="812">
        <f>Sismik!X16</f>
        <v>0</v>
      </c>
      <c r="M18" s="987"/>
      <c r="N18" s="985">
        <f>Sismik!Z16</f>
        <v>0</v>
      </c>
      <c r="O18" s="986"/>
      <c r="P18" s="967"/>
      <c r="R18" s="974"/>
      <c r="S18" s="811">
        <v>2</v>
      </c>
      <c r="T18" s="815" t="e">
        <f>Sismik!D122</f>
        <v>#DIV/0!</v>
      </c>
      <c r="U18" s="808">
        <f>Sismik!D121</f>
        <v>0</v>
      </c>
      <c r="V18" s="975"/>
      <c r="W18" s="815" t="e">
        <f>Sismik!D123</f>
        <v>#DIV/0!</v>
      </c>
      <c r="X18" s="815" t="e">
        <f>Sismik!D125</f>
        <v>#DIV/0!</v>
      </c>
      <c r="Y18" s="809" t="e">
        <f>Sismik!D126</f>
        <v>#NUM!</v>
      </c>
      <c r="Z18" s="808" t="e">
        <f>Sismik!D129</f>
        <v>#DIV/0!</v>
      </c>
      <c r="AA18" s="810">
        <f>Sismik!D124</f>
        <v>0</v>
      </c>
      <c r="AB18" s="976"/>
      <c r="AC18" s="976"/>
      <c r="AD18" s="972">
        <f t="shared" si="0"/>
        <v>0</v>
      </c>
      <c r="AE18" s="973"/>
      <c r="AF18" s="970"/>
      <c r="AG18" s="971"/>
    </row>
    <row r="19" spans="2:33">
      <c r="B19" s="974" t="s">
        <v>100</v>
      </c>
      <c r="C19" s="811">
        <v>1</v>
      </c>
      <c r="D19" s="808">
        <f>Sismik!P17</f>
        <v>0</v>
      </c>
      <c r="E19" s="808">
        <f>Sismik!Q17</f>
        <v>0</v>
      </c>
      <c r="F19" s="975">
        <f>Sismik!R17</f>
        <v>0</v>
      </c>
      <c r="G19" s="776">
        <f>Sismik!S17</f>
        <v>0</v>
      </c>
      <c r="H19" s="776" t="e">
        <f>Sismik!T17</f>
        <v>#DIV/0!</v>
      </c>
      <c r="I19" s="809" t="e">
        <f>Sismik!U17</f>
        <v>#DIV/0!</v>
      </c>
      <c r="J19" s="808">
        <f>Sismik!V17</f>
        <v>0</v>
      </c>
      <c r="K19" s="810" t="e">
        <f>Sismik!W17</f>
        <v>#DIV/0!</v>
      </c>
      <c r="L19" s="808">
        <f>Sismik!X17</f>
        <v>0</v>
      </c>
      <c r="M19" s="987">
        <f>Sismik!Y17</f>
        <v>0</v>
      </c>
      <c r="N19" s="972">
        <f>Sismik!Z17</f>
        <v>0</v>
      </c>
      <c r="O19" s="973"/>
      <c r="P19" s="966">
        <f>Sismik!AB17</f>
        <v>0</v>
      </c>
      <c r="R19" s="974" t="s">
        <v>100</v>
      </c>
      <c r="S19" s="811">
        <v>1</v>
      </c>
      <c r="T19" s="815" t="e">
        <f>Sismik!C148</f>
        <v>#DIV/0!</v>
      </c>
      <c r="U19" s="808">
        <f>Sismik!C147</f>
        <v>0</v>
      </c>
      <c r="V19" s="975" t="e">
        <f>Sismik!C146</f>
        <v>#DIV/0!</v>
      </c>
      <c r="W19" s="815" t="e">
        <f>Sismik!C149</f>
        <v>#DIV/0!</v>
      </c>
      <c r="X19" s="815" t="e">
        <f>Sismik!C151</f>
        <v>#DIV/0!</v>
      </c>
      <c r="Y19" s="809" t="e">
        <f>Sismik!C152</f>
        <v>#NUM!</v>
      </c>
      <c r="Z19" s="808" t="e">
        <f>Sismik!C155</f>
        <v>#DIV/0!</v>
      </c>
      <c r="AA19" s="810">
        <f>Sismik!C150</f>
        <v>0</v>
      </c>
      <c r="AB19" s="976" t="e">
        <f>Sismik!C153</f>
        <v>#DIV/0!</v>
      </c>
      <c r="AC19" s="976" t="e">
        <f>Sismik!C154</f>
        <v>#DIV/0!</v>
      </c>
      <c r="AD19" s="972">
        <f t="shared" si="0"/>
        <v>0</v>
      </c>
      <c r="AE19" s="973"/>
      <c r="AF19" s="968">
        <f t="shared" ref="AF19" si="5">P19</f>
        <v>0</v>
      </c>
      <c r="AG19" s="969"/>
    </row>
    <row r="20" spans="2:33">
      <c r="B20" s="974"/>
      <c r="C20" s="811">
        <v>2</v>
      </c>
      <c r="D20" s="812">
        <f>Sismik!P18</f>
        <v>0</v>
      </c>
      <c r="E20" s="812">
        <f>Sismik!Q18</f>
        <v>0</v>
      </c>
      <c r="F20" s="975"/>
      <c r="G20" s="769">
        <f>Sismik!S18</f>
        <v>0</v>
      </c>
      <c r="H20" s="769" t="e">
        <f>Sismik!T18</f>
        <v>#DIV/0!</v>
      </c>
      <c r="I20" s="813" t="e">
        <f>Sismik!U18</f>
        <v>#DIV/0!</v>
      </c>
      <c r="J20" s="812">
        <f>Sismik!V18</f>
        <v>0</v>
      </c>
      <c r="K20" s="814" t="e">
        <f>Sismik!W18</f>
        <v>#DIV/0!</v>
      </c>
      <c r="L20" s="812">
        <f>Sismik!X18</f>
        <v>0</v>
      </c>
      <c r="M20" s="987"/>
      <c r="N20" s="985">
        <f>Sismik!Z18</f>
        <v>0</v>
      </c>
      <c r="O20" s="986"/>
      <c r="P20" s="967"/>
      <c r="R20" s="974"/>
      <c r="S20" s="811">
        <v>2</v>
      </c>
      <c r="T20" s="815" t="e">
        <f>Sismik!D148</f>
        <v>#DIV/0!</v>
      </c>
      <c r="U20" s="808">
        <f>Sismik!D147</f>
        <v>0</v>
      </c>
      <c r="V20" s="975"/>
      <c r="W20" s="815" t="e">
        <f>Sismik!D149</f>
        <v>#DIV/0!</v>
      </c>
      <c r="X20" s="815" t="e">
        <f>Sismik!D151</f>
        <v>#DIV/0!</v>
      </c>
      <c r="Y20" s="809" t="e">
        <f>Sismik!D152</f>
        <v>#NUM!</v>
      </c>
      <c r="Z20" s="808" t="e">
        <f>Sismik!D155</f>
        <v>#DIV/0!</v>
      </c>
      <c r="AA20" s="810">
        <f>Sismik!D150</f>
        <v>0</v>
      </c>
      <c r="AB20" s="977"/>
      <c r="AC20" s="977"/>
      <c r="AD20" s="972">
        <f t="shared" si="0"/>
        <v>0</v>
      </c>
      <c r="AE20" s="973"/>
      <c r="AF20" s="970"/>
      <c r="AG20" s="971"/>
    </row>
    <row r="23" spans="2:33">
      <c r="D23" s="989" t="s">
        <v>214</v>
      </c>
      <c r="E23" s="940"/>
      <c r="F23" s="940"/>
      <c r="G23" s="940"/>
      <c r="H23" s="940"/>
      <c r="I23" s="940"/>
      <c r="J23" s="940"/>
      <c r="K23" s="940"/>
      <c r="L23" s="940"/>
      <c r="M23" s="940"/>
      <c r="N23" s="940"/>
      <c r="O23" s="940"/>
    </row>
    <row r="24" spans="2:33" ht="15" customHeight="1">
      <c r="D24" s="880" t="s">
        <v>87</v>
      </c>
      <c r="E24" s="880" t="s">
        <v>466</v>
      </c>
      <c r="F24" s="880" t="s">
        <v>182</v>
      </c>
      <c r="G24" s="880" t="s">
        <v>11</v>
      </c>
      <c r="H24" s="880" t="s">
        <v>13</v>
      </c>
      <c r="I24" s="880" t="s">
        <v>183</v>
      </c>
      <c r="J24" s="880" t="s">
        <v>184</v>
      </c>
      <c r="K24" s="880" t="s">
        <v>185</v>
      </c>
      <c r="L24" s="880" t="s">
        <v>94</v>
      </c>
      <c r="M24" s="990" t="s">
        <v>69</v>
      </c>
      <c r="N24" s="990"/>
      <c r="O24" s="990" t="s">
        <v>55</v>
      </c>
      <c r="P24" s="990"/>
    </row>
    <row r="25" spans="2:33">
      <c r="D25" s="880"/>
      <c r="E25" s="880"/>
      <c r="F25" s="880"/>
      <c r="G25" s="880"/>
      <c r="H25" s="880"/>
      <c r="I25" s="880"/>
      <c r="J25" s="880"/>
      <c r="K25" s="880"/>
      <c r="L25" s="880"/>
      <c r="M25" s="990"/>
      <c r="N25" s="990"/>
      <c r="O25" s="990"/>
      <c r="P25" s="990"/>
    </row>
    <row r="26" spans="2:33" ht="15" customHeight="1">
      <c r="D26" s="818" t="s">
        <v>374</v>
      </c>
      <c r="E26" s="808">
        <f>Sismik!C25</f>
        <v>0</v>
      </c>
      <c r="F26" s="776">
        <f t="shared" ref="F26:F31" si="6">IF(ISERROR(0.31*(E26^0.25)),"",0.31*(E26^0.25))</f>
        <v>0</v>
      </c>
      <c r="G26" s="776" t="e">
        <f>Sismik!D6/E26</f>
        <v>#DIV/0!</v>
      </c>
      <c r="H26" s="809" t="e">
        <f>(Sismik!D6^2-2*E26^2)/(2*Sismik!D6^2-2*E26^2)</f>
        <v>#DIV/0!</v>
      </c>
      <c r="I26" s="808">
        <f>IF(ISERROR(Sismik!D9*(E26^2)/100),"",Sismik!D9*(E26^2)/100)</f>
        <v>0</v>
      </c>
      <c r="J26" s="810" t="e">
        <f>Sismik!D12*(((3*Sismik!D6^2)-(4*(E26^2)))/(Sismik!D6^2-E26^2))</f>
        <v>#DIV/0!</v>
      </c>
      <c r="K26" s="808">
        <f>(Sismik!D9*(Sismik!D6^2-1.333*E26^2)/100)</f>
        <v>0</v>
      </c>
      <c r="L26" s="817" t="e">
        <f>((Sismik!C8/Sismik!C7+((50-Sismik!C8)/E26))*4)</f>
        <v>#DIV/0!</v>
      </c>
      <c r="M26" s="972">
        <f>N10</f>
        <v>0</v>
      </c>
      <c r="N26" s="973"/>
      <c r="O26" s="972">
        <f>P9</f>
        <v>0</v>
      </c>
      <c r="P26" s="973"/>
    </row>
    <row r="27" spans="2:33" ht="15" customHeight="1">
      <c r="D27" s="819" t="s">
        <v>375</v>
      </c>
      <c r="E27" s="812">
        <f>Sismik!C52</f>
        <v>0</v>
      </c>
      <c r="F27" s="776">
        <f t="shared" si="6"/>
        <v>0</v>
      </c>
      <c r="G27" s="776" t="e">
        <f>Sismik!D33/E27</f>
        <v>#DIV/0!</v>
      </c>
      <c r="H27" s="809" t="e">
        <f>(Sismik!D33^2-2*E27^2)/(2*Sismik!D33^2-2*E27^2)</f>
        <v>#DIV/0!</v>
      </c>
      <c r="I27" s="808">
        <f>IF(ISERROR(Sismik!D36*(E27^2)/100),"",Sismik!D36*(E27^2)/100)</f>
        <v>0</v>
      </c>
      <c r="J27" s="810" t="e">
        <f>Sismik!D39*(((3*Sismik!D33^2)-(4*(E27^2)))/(Sismik!D33^2-E27^2))</f>
        <v>#DIV/0!</v>
      </c>
      <c r="K27" s="808">
        <f>(Sismik!D36*(Sismik!D33^2-1.333*E27^2)/100)</f>
        <v>0</v>
      </c>
      <c r="L27" s="813" t="e">
        <f>((Sismik!C35/Sismik!C34+((50-Sismik!C35)/E27))*4)</f>
        <v>#DIV/0!</v>
      </c>
      <c r="M27" s="985">
        <f>N12</f>
        <v>0</v>
      </c>
      <c r="N27" s="986"/>
      <c r="O27" s="985">
        <f>P11</f>
        <v>0</v>
      </c>
      <c r="P27" s="986"/>
    </row>
    <row r="28" spans="2:33" ht="15" customHeight="1">
      <c r="D28" s="819" t="s">
        <v>376</v>
      </c>
      <c r="E28" s="808">
        <f>Sismik!C78</f>
        <v>0</v>
      </c>
      <c r="F28" s="776">
        <f t="shared" si="6"/>
        <v>0</v>
      </c>
      <c r="G28" s="776" t="e">
        <f>Sismik!D59/E28</f>
        <v>#DIV/0!</v>
      </c>
      <c r="H28" s="809" t="e">
        <f>(Sismik!D59^2-2*E28^2)/(2*Sismik!D59^2-2*E28^2)</f>
        <v>#DIV/0!</v>
      </c>
      <c r="I28" s="808">
        <f>IF(ISERROR(Sismik!D62*(E28^2)/100),"",Sismik!D62*(E28^2)/100)</f>
        <v>0</v>
      </c>
      <c r="J28" s="810" t="e">
        <f>Sismik!D65*(((3*Sismik!D59^2)-(4*(E28^2)))/(Sismik!D59^2-E28^2))</f>
        <v>#DIV/0!</v>
      </c>
      <c r="K28" s="808">
        <f>(Sismik!D62*(Sismik!D59^2-1.333*E28^2)/100)</f>
        <v>0</v>
      </c>
      <c r="L28" s="813" t="e">
        <f>((Sismik!C61/Sismik!C60+((50-Sismik!C61)/E28))*4)</f>
        <v>#DIV/0!</v>
      </c>
      <c r="M28" s="972">
        <f>N14</f>
        <v>0</v>
      </c>
      <c r="N28" s="973"/>
      <c r="O28" s="985">
        <f>P13</f>
        <v>0</v>
      </c>
      <c r="P28" s="986"/>
    </row>
    <row r="29" spans="2:33" ht="15" customHeight="1">
      <c r="D29" s="819" t="s">
        <v>377</v>
      </c>
      <c r="E29" s="812">
        <f>Sismik!C104</f>
        <v>0</v>
      </c>
      <c r="F29" s="776">
        <f t="shared" si="6"/>
        <v>0</v>
      </c>
      <c r="G29" s="776" t="e">
        <f>Sismik!D85/E29</f>
        <v>#DIV/0!</v>
      </c>
      <c r="H29" s="809" t="e">
        <f>(Sismik!D85^2-2*E29^2)/(2*Sismik!D85^2-2*E29^2)</f>
        <v>#DIV/0!</v>
      </c>
      <c r="I29" s="808">
        <f>IF(ISERROR(Sismik!D88*(E29^2)/100),"",Sismik!D88*(E29^2)/100)</f>
        <v>0</v>
      </c>
      <c r="J29" s="810" t="e">
        <f>Sismik!D91*(((3*Sismik!D85^2)-(4*(E29^2)))/(Sismik!D85^2-E29^2))</f>
        <v>#DIV/0!</v>
      </c>
      <c r="K29" s="808">
        <f>(Sismik!D88*(Sismik!D85^2-1.333*E29^2)/100)</f>
        <v>0</v>
      </c>
      <c r="L29" s="813" t="e">
        <f>((Sismik!C87/Sismik!C86+((50-Sismik!C87)/E29))*4)</f>
        <v>#DIV/0!</v>
      </c>
      <c r="M29" s="985">
        <f>N16</f>
        <v>0</v>
      </c>
      <c r="N29" s="986"/>
      <c r="O29" s="985">
        <f>P15</f>
        <v>0</v>
      </c>
      <c r="P29" s="986"/>
    </row>
    <row r="30" spans="2:33" ht="15" customHeight="1">
      <c r="D30" s="819" t="s">
        <v>378</v>
      </c>
      <c r="E30" s="808">
        <f>Sismik!C130</f>
        <v>0</v>
      </c>
      <c r="F30" s="776">
        <f t="shared" si="6"/>
        <v>0</v>
      </c>
      <c r="G30" s="776" t="e">
        <f>Sismik!D111/E30</f>
        <v>#DIV/0!</v>
      </c>
      <c r="H30" s="809" t="e">
        <f>(Sismik!D111^2-2*E30^2)/(2*Sismik!D111^2-2*E30^2)</f>
        <v>#DIV/0!</v>
      </c>
      <c r="I30" s="808">
        <f>IF(ISERROR(Sismik!D114*(E30^2)/100),"",Sismik!D114*(E30^2)/100)</f>
        <v>0</v>
      </c>
      <c r="J30" s="810" t="e">
        <f>Sismik!D117*(((3*Sismik!D111^2)-(4*(E30^2)))/(Sismik!D111^2-E30^2))</f>
        <v>#DIV/0!</v>
      </c>
      <c r="K30" s="808">
        <f>(Sismik!D114*(Sismik!D111^2-1.333*E30^2)/100)</f>
        <v>0</v>
      </c>
      <c r="L30" s="813" t="e">
        <f>((Sismik!C113/Sismik!C112+((50-Sismik!C113)/E30))*4)</f>
        <v>#DIV/0!</v>
      </c>
      <c r="M30" s="972">
        <f>N18</f>
        <v>0</v>
      </c>
      <c r="N30" s="973"/>
      <c r="O30" s="985">
        <f>P17</f>
        <v>0</v>
      </c>
      <c r="P30" s="986"/>
    </row>
    <row r="31" spans="2:33" ht="15" customHeight="1">
      <c r="D31" s="820" t="s">
        <v>379</v>
      </c>
      <c r="E31" s="812">
        <f>Sismik!C156</f>
        <v>0</v>
      </c>
      <c r="F31" s="776">
        <f t="shared" si="6"/>
        <v>0</v>
      </c>
      <c r="G31" s="776" t="e">
        <f>Sismik!D137/E31</f>
        <v>#DIV/0!</v>
      </c>
      <c r="H31" s="809" t="e">
        <f>(Sismik!D137^2-2*E31^2)/(2*Sismik!D137^2-2*E31^2)</f>
        <v>#DIV/0!</v>
      </c>
      <c r="I31" s="808">
        <f>IF(ISERROR(Sismik!D140*(E31^2)/100),"",Sismik!D140*(E31^2)/100)</f>
        <v>0</v>
      </c>
      <c r="J31" s="810" t="e">
        <f>Sismik!D143*(((3*Sismik!D137^2)-(4*(E31^2)))/(Sismik!D137^2-E31^2))</f>
        <v>#DIV/0!</v>
      </c>
      <c r="K31" s="808">
        <f>(Sismik!D140*(Sismik!D137^2-1.333*E31^2)/100)</f>
        <v>0</v>
      </c>
      <c r="L31" s="813" t="e">
        <f>((Sismik!C139/Sismik!C138+((50-Sismik!C139)/E31))*4)</f>
        <v>#DIV/0!</v>
      </c>
      <c r="M31" s="985">
        <f>N20</f>
        <v>0</v>
      </c>
      <c r="N31" s="986"/>
      <c r="O31" s="985">
        <f>P19</f>
        <v>0</v>
      </c>
      <c r="P31" s="986"/>
    </row>
    <row r="32" spans="2:33" ht="15" customHeight="1"/>
    <row r="33" spans="6:6" ht="15" customHeight="1"/>
    <row r="34" spans="6:6" ht="15" customHeight="1"/>
    <row r="35" spans="6:6" ht="15" customHeight="1"/>
    <row r="36" spans="6:6" ht="15" customHeight="1"/>
    <row r="37" spans="6:6" ht="15" customHeight="1"/>
    <row r="39" spans="6:6">
      <c r="F39" s="72">
        <f>IF(ISERROR(0.31*(E39^0.25)),"",0.31*(E39^0.25))</f>
        <v>0</v>
      </c>
    </row>
  </sheetData>
  <sheetProtection algorithmName="SHA-512" hashValue="v5s3yNhA//kjT4HA4HS7TwzdOvnh2fc12BL6sy3bACNvoIDeL2MIuUtVgWhYiaqyVIzAvfXuqyi4ZxfX9tC8mw==" saltValue="XDtzcDuGNPjyxEN31fkp6Q==" spinCount="100000" sheet="1" objects="1" scenarios="1"/>
  <mergeCells count="133">
    <mergeCell ref="O30:P30"/>
    <mergeCell ref="O31:P31"/>
    <mergeCell ref="O24:P25"/>
    <mergeCell ref="O26:P26"/>
    <mergeCell ref="O27:P27"/>
    <mergeCell ref="O28:P28"/>
    <mergeCell ref="O29:P29"/>
    <mergeCell ref="M26:N26"/>
    <mergeCell ref="E24:E25"/>
    <mergeCell ref="F24:F25"/>
    <mergeCell ref="M31:N31"/>
    <mergeCell ref="M29:N29"/>
    <mergeCell ref="M30:N30"/>
    <mergeCell ref="M27:N27"/>
    <mergeCell ref="M28:N28"/>
    <mergeCell ref="G24:G25"/>
    <mergeCell ref="H24:H25"/>
    <mergeCell ref="I24:I25"/>
    <mergeCell ref="J24:J25"/>
    <mergeCell ref="K24:K25"/>
    <mergeCell ref="L24:L25"/>
    <mergeCell ref="M24:N25"/>
    <mergeCell ref="D24:D25"/>
    <mergeCell ref="N11:O11"/>
    <mergeCell ref="N9:O9"/>
    <mergeCell ref="B7:B8"/>
    <mergeCell ref="C7:C8"/>
    <mergeCell ref="D7:D8"/>
    <mergeCell ref="E7:E8"/>
    <mergeCell ref="F7:F8"/>
    <mergeCell ref="G7:G8"/>
    <mergeCell ref="H7:H8"/>
    <mergeCell ref="I7:I8"/>
    <mergeCell ref="B11:B12"/>
    <mergeCell ref="F11:F12"/>
    <mergeCell ref="M11:M12"/>
    <mergeCell ref="N20:O20"/>
    <mergeCell ref="B17:B18"/>
    <mergeCell ref="D23:O23"/>
    <mergeCell ref="B19:B20"/>
    <mergeCell ref="F19:F20"/>
    <mergeCell ref="M19:M20"/>
    <mergeCell ref="N19:O19"/>
    <mergeCell ref="J7:J8"/>
    <mergeCell ref="K7:K8"/>
    <mergeCell ref="L7:L8"/>
    <mergeCell ref="B2:C2"/>
    <mergeCell ref="D6:P6"/>
    <mergeCell ref="B1:C1"/>
    <mergeCell ref="N16:O16"/>
    <mergeCell ref="N17:O17"/>
    <mergeCell ref="B15:B16"/>
    <mergeCell ref="F15:F16"/>
    <mergeCell ref="M15:M16"/>
    <mergeCell ref="N14:O14"/>
    <mergeCell ref="N15:O15"/>
    <mergeCell ref="B13:B14"/>
    <mergeCell ref="F13:F14"/>
    <mergeCell ref="M13:M14"/>
    <mergeCell ref="N12:O12"/>
    <mergeCell ref="N13:O13"/>
    <mergeCell ref="N10:O10"/>
    <mergeCell ref="F17:F18"/>
    <mergeCell ref="M17:M18"/>
    <mergeCell ref="N18:O18"/>
    <mergeCell ref="P7:P8"/>
    <mergeCell ref="B9:B10"/>
    <mergeCell ref="F9:F10"/>
    <mergeCell ref="M9:M10"/>
    <mergeCell ref="N7:O8"/>
    <mergeCell ref="M7:M8"/>
    <mergeCell ref="AB5:AB8"/>
    <mergeCell ref="AC5:AC8"/>
    <mergeCell ref="AD5:AE8"/>
    <mergeCell ref="AF5:AG8"/>
    <mergeCell ref="R9:R10"/>
    <mergeCell ref="V9:V10"/>
    <mergeCell ref="AB9:AB10"/>
    <mergeCell ref="AC9:AC10"/>
    <mergeCell ref="AD9:AE9"/>
    <mergeCell ref="AD10:AE10"/>
    <mergeCell ref="W5:W8"/>
    <mergeCell ref="X5:X8"/>
    <mergeCell ref="Y5:Y8"/>
    <mergeCell ref="Z5:Z8"/>
    <mergeCell ref="AA5:AA8"/>
    <mergeCell ref="R5:R8"/>
    <mergeCell ref="S5:S8"/>
    <mergeCell ref="T5:T8"/>
    <mergeCell ref="U5:U8"/>
    <mergeCell ref="V5:V8"/>
    <mergeCell ref="P9:P10"/>
    <mergeCell ref="R15:R16"/>
    <mergeCell ref="V15:V16"/>
    <mergeCell ref="AB15:AB16"/>
    <mergeCell ref="AC15:AC16"/>
    <mergeCell ref="AD15:AE15"/>
    <mergeCell ref="AD12:AE12"/>
    <mergeCell ref="R13:R14"/>
    <mergeCell ref="V13:V14"/>
    <mergeCell ref="AB13:AB14"/>
    <mergeCell ref="AC13:AC14"/>
    <mergeCell ref="AD13:AE13"/>
    <mergeCell ref="AD14:AE14"/>
    <mergeCell ref="R11:R12"/>
    <mergeCell ref="V11:V12"/>
    <mergeCell ref="AB11:AB12"/>
    <mergeCell ref="AC11:AC12"/>
    <mergeCell ref="AD11:AE11"/>
    <mergeCell ref="P11:P12"/>
    <mergeCell ref="P13:P14"/>
    <mergeCell ref="P15:P16"/>
    <mergeCell ref="P17:P18"/>
    <mergeCell ref="P19:P20"/>
    <mergeCell ref="AF9:AG10"/>
    <mergeCell ref="AF11:AG12"/>
    <mergeCell ref="AF13:AG14"/>
    <mergeCell ref="AF15:AG16"/>
    <mergeCell ref="AF17:AG18"/>
    <mergeCell ref="AF19:AG20"/>
    <mergeCell ref="AD20:AE20"/>
    <mergeCell ref="R19:R20"/>
    <mergeCell ref="V19:V20"/>
    <mergeCell ref="AB19:AB20"/>
    <mergeCell ref="AC19:AC20"/>
    <mergeCell ref="AD19:AE19"/>
    <mergeCell ref="AD16:AE16"/>
    <mergeCell ref="R17:R18"/>
    <mergeCell ref="V17:V18"/>
    <mergeCell ref="AB17:AB18"/>
    <mergeCell ref="AC17:AC18"/>
    <mergeCell ref="AD17:AE17"/>
    <mergeCell ref="AD18:AE18"/>
  </mergeCells>
  <conditionalFormatting sqref="D9:M20">
    <cfRule type="containsErrors" dxfId="313" priority="32">
      <formula>ISERROR(D9)</formula>
    </cfRule>
  </conditionalFormatting>
  <conditionalFormatting sqref="E26:L31">
    <cfRule type="containsErrors" dxfId="312" priority="20">
      <formula>ISERROR(E26)</formula>
    </cfRule>
  </conditionalFormatting>
  <conditionalFormatting sqref="E26:P31">
    <cfRule type="containsErrors" dxfId="311" priority="1">
      <formula>ISERROR(E26)</formula>
    </cfRule>
  </conditionalFormatting>
  <conditionalFormatting sqref="J9:L20">
    <cfRule type="containsErrors" dxfId="310" priority="24">
      <formula>ISERROR(J9)</formula>
    </cfRule>
  </conditionalFormatting>
  <conditionalFormatting sqref="K9:K20">
    <cfRule type="containsErrors" dxfId="309" priority="4">
      <formula>ISERROR(K9)</formula>
    </cfRule>
    <cfRule type="containsErrors" dxfId="308" priority="31">
      <formula>ISERROR(K9)</formula>
    </cfRule>
  </conditionalFormatting>
  <conditionalFormatting sqref="M9:M20">
    <cfRule type="cellIs" dxfId="307" priority="19" operator="equal">
      <formula>0</formula>
    </cfRule>
  </conditionalFormatting>
  <conditionalFormatting sqref="T9:AB20">
    <cfRule type="containsErrors" dxfId="306" priority="8">
      <formula>ISERROR(T9)</formula>
    </cfRule>
  </conditionalFormatting>
  <conditionalFormatting sqref="W9:W20">
    <cfRule type="containsErrors" dxfId="305" priority="15">
      <formula>ISERROR(W9)</formula>
    </cfRule>
  </conditionalFormatting>
  <conditionalFormatting sqref="Z9:AA20">
    <cfRule type="containsErrors" dxfId="304" priority="14">
      <formula>ISERROR(Z9)</formula>
    </cfRule>
  </conditionalFormatting>
  <conditionalFormatting sqref="AA9:AA20">
    <cfRule type="containsErrors" dxfId="303" priority="3">
      <formula>ISERROR(AA9)</formula>
    </cfRule>
    <cfRule type="cellIs" dxfId="302" priority="5" operator="equal">
      <formula>0</formula>
    </cfRule>
    <cfRule type="containsErrors" dxfId="301" priority="6">
      <formula>ISERROR(AA9)</formula>
    </cfRule>
    <cfRule type="cellIs" dxfId="300" priority="7" operator="equal">
      <formula>"0+$U$25"</formula>
    </cfRule>
    <cfRule type="containsErrors" dxfId="299" priority="16">
      <formula>ISERROR(AA9)</formula>
    </cfRule>
  </conditionalFormatting>
  <conditionalFormatting sqref="AA9:AB20">
    <cfRule type="cellIs" dxfId="298" priority="2" operator="equal">
      <formula>0</formula>
    </cfRule>
  </conditionalFormatting>
  <conditionalFormatting sqref="AC9:AC20">
    <cfRule type="cellIs" dxfId="297" priority="12" operator="equal">
      <formula>0</formula>
    </cfRule>
    <cfRule type="containsErrors" dxfId="296" priority="13">
      <formula>ISERROR(AC9)</formula>
    </cfRule>
  </conditionalFormatting>
  <pageMargins left="0.7" right="0.7" top="0.75" bottom="0.75" header="0.3" footer="0.3"/>
  <pageSetup paperSize="9" orientation="portrait" r:id="rId1"/>
  <ignoredErrors>
    <ignoredError sqref="G29:G31 H29:H31 J29:J31 L29:L31 M15 M17 M19 K15:K20 I15:I20 H15:H20"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V305"/>
  <sheetViews>
    <sheetView workbookViewId="0">
      <selection activeCell="S22" sqref="S22"/>
    </sheetView>
  </sheetViews>
  <sheetFormatPr defaultRowHeight="15"/>
  <cols>
    <col min="2" max="2" width="9.140625" customWidth="1"/>
    <col min="3" max="4" width="15.7109375" customWidth="1"/>
    <col min="5" max="7" width="21.7109375" customWidth="1"/>
    <col min="8" max="8" width="9.140625" customWidth="1"/>
    <col min="9" max="9" width="5.140625" customWidth="1"/>
    <col min="10" max="10" width="9.7109375" customWidth="1"/>
    <col min="11" max="12" width="9.7109375" hidden="1" customWidth="1"/>
    <col min="13" max="14" width="9.7109375" customWidth="1"/>
    <col min="15" max="15" width="0" hidden="1" customWidth="1"/>
    <col min="16" max="16" width="12" bestFit="1" customWidth="1"/>
  </cols>
  <sheetData>
    <row r="1" spans="2:22">
      <c r="B1" s="135"/>
      <c r="C1" s="1021" t="s">
        <v>56</v>
      </c>
      <c r="D1" s="1021"/>
      <c r="E1" s="1021"/>
      <c r="F1" s="1021"/>
      <c r="G1" s="1021"/>
      <c r="H1" s="1021"/>
    </row>
    <row r="2" spans="2:22">
      <c r="B2" s="138"/>
      <c r="C2" s="1021"/>
      <c r="D2" s="1021"/>
      <c r="E2" s="1021"/>
      <c r="F2" s="1021"/>
      <c r="G2" s="1021"/>
      <c r="H2" s="1021"/>
      <c r="I2" s="41"/>
      <c r="J2" s="44"/>
      <c r="K2" s="45"/>
      <c r="L2" s="45"/>
      <c r="M2" s="44"/>
      <c r="N2" s="45"/>
    </row>
    <row r="3" spans="2:22" ht="31.5">
      <c r="B3" s="548" t="s">
        <v>661</v>
      </c>
      <c r="C3" s="549" t="s">
        <v>41</v>
      </c>
      <c r="D3" s="549" t="s">
        <v>42</v>
      </c>
      <c r="E3" s="549" t="s">
        <v>43</v>
      </c>
      <c r="F3" s="549" t="s">
        <v>54</v>
      </c>
      <c r="G3" s="880" t="s">
        <v>55</v>
      </c>
      <c r="H3" s="880"/>
      <c r="N3" s="573"/>
      <c r="O3" s="573"/>
      <c r="P3" s="829" t="s">
        <v>812</v>
      </c>
      <c r="Q3" s="573"/>
      <c r="R3" s="573"/>
      <c r="S3" s="573"/>
      <c r="T3" s="573"/>
      <c r="U3" s="573"/>
      <c r="V3" s="573"/>
    </row>
    <row r="4" spans="2:22" ht="15" customHeight="1">
      <c r="B4" s="1004" t="s">
        <v>46</v>
      </c>
      <c r="C4" s="710" t="s">
        <v>44</v>
      </c>
      <c r="D4" s="750">
        <f>Sismik!C6</f>
        <v>0</v>
      </c>
      <c r="E4" s="751" t="str">
        <f>Sismik!I6</f>
        <v xml:space="preserve"> </v>
      </c>
      <c r="F4" s="752">
        <f>Sismik!Z7</f>
        <v>0</v>
      </c>
      <c r="G4" s="1022">
        <f>Sismik!AB7</f>
        <v>0</v>
      </c>
      <c r="H4" s="1023"/>
      <c r="J4" s="43"/>
      <c r="K4" t="str">
        <f>IF(D15=0,"100000",D15)</f>
        <v>100000</v>
      </c>
      <c r="L4" t="str">
        <f>IF(D14=0,"100000",(D14))</f>
        <v>100000</v>
      </c>
      <c r="N4" s="573"/>
      <c r="O4" s="573" t="str">
        <f>IF(D15=0,"100000",D15)</f>
        <v>100000</v>
      </c>
      <c r="P4" s="1024" t="e">
        <f>30/((Sismik!C8/D4)+((30-Sismik!C8)/D5))</f>
        <v>#DIV/0!</v>
      </c>
      <c r="Q4" s="573"/>
      <c r="R4" s="573"/>
      <c r="S4" s="573"/>
      <c r="T4" s="573"/>
      <c r="U4" s="573"/>
      <c r="V4" s="573"/>
    </row>
    <row r="5" spans="2:22" ht="15" customHeight="1">
      <c r="B5" s="1005"/>
      <c r="C5" s="711" t="s">
        <v>45</v>
      </c>
      <c r="D5" s="753">
        <f>Sismik!D6</f>
        <v>0</v>
      </c>
      <c r="E5" s="754" t="str">
        <f>Sismik!K6</f>
        <v/>
      </c>
      <c r="F5" s="755">
        <f>Sismik!Z8</f>
        <v>0</v>
      </c>
      <c r="G5" s="1011"/>
      <c r="H5" s="1012"/>
      <c r="J5" s="43"/>
      <c r="K5" t="str">
        <f>IF(D13=0,"100000",D13)</f>
        <v>100000</v>
      </c>
      <c r="L5" t="str">
        <f>IF(D12=0,"100000",D12)</f>
        <v>100000</v>
      </c>
      <c r="N5" s="573"/>
      <c r="O5" s="573" t="str">
        <f>IF(D14=0,"100000",(D14))</f>
        <v>100000</v>
      </c>
      <c r="P5" s="1025"/>
      <c r="Q5" s="573"/>
      <c r="R5" s="573"/>
      <c r="S5" s="573"/>
      <c r="T5" s="573"/>
      <c r="U5" s="573"/>
      <c r="V5" s="573"/>
    </row>
    <row r="6" spans="2:22" ht="15" customHeight="1">
      <c r="B6" s="1006" t="s">
        <v>47</v>
      </c>
      <c r="C6" s="711" t="s">
        <v>44</v>
      </c>
      <c r="D6" s="753">
        <f>Sismik!C33</f>
        <v>0</v>
      </c>
      <c r="E6" s="754" t="str">
        <f>Sismik!I33</f>
        <v xml:space="preserve"> </v>
      </c>
      <c r="F6" s="755">
        <f>Sismik!Z9</f>
        <v>0</v>
      </c>
      <c r="G6" s="1009">
        <f>Sismik!AB9</f>
        <v>0</v>
      </c>
      <c r="H6" s="1010"/>
      <c r="J6" s="43"/>
      <c r="K6" t="str">
        <f>IF(D11=0,"100000",D11)</f>
        <v>100000</v>
      </c>
      <c r="L6" t="str">
        <f>IF(D10=0,"100000",D10)</f>
        <v>100000</v>
      </c>
      <c r="N6" s="573"/>
      <c r="O6" s="573" t="str">
        <f>IF(D13=0,"100000",D13)</f>
        <v>100000</v>
      </c>
      <c r="P6" s="1024" t="e">
        <f>30/((Sismik!C35/D6)+((30-Sismik!C35)/D7))</f>
        <v>#DIV/0!</v>
      </c>
      <c r="Q6" s="573"/>
      <c r="R6" s="573"/>
      <c r="S6" s="573"/>
      <c r="T6" s="573"/>
      <c r="U6" s="573"/>
      <c r="V6" s="573"/>
    </row>
    <row r="7" spans="2:22" ht="15" customHeight="1">
      <c r="B7" s="1005"/>
      <c r="C7" s="711" t="s">
        <v>45</v>
      </c>
      <c r="D7" s="753">
        <f>Sismik!D33</f>
        <v>0</v>
      </c>
      <c r="E7" s="754" t="str">
        <f>Sismik!K33</f>
        <v/>
      </c>
      <c r="F7" s="755">
        <f>Sismik!Z10</f>
        <v>0</v>
      </c>
      <c r="G7" s="1011"/>
      <c r="H7" s="1012"/>
      <c r="J7" s="43"/>
      <c r="K7" t="str">
        <f>IF(D9=0,"100000",D9)</f>
        <v>100000</v>
      </c>
      <c r="L7" t="str">
        <f>IF(D8=0,"100000",D8)</f>
        <v>100000</v>
      </c>
      <c r="N7" s="573"/>
      <c r="O7" s="573" t="str">
        <f>IF(D12=0,"100000",D12)</f>
        <v>100000</v>
      </c>
      <c r="P7" s="1025"/>
      <c r="Q7" s="573"/>
      <c r="R7" s="573"/>
      <c r="S7" s="573"/>
      <c r="T7" s="573"/>
      <c r="U7" s="573"/>
      <c r="V7" s="573"/>
    </row>
    <row r="8" spans="2:22" ht="15" customHeight="1">
      <c r="B8" s="1006" t="s">
        <v>48</v>
      </c>
      <c r="C8" s="711" t="s">
        <v>44</v>
      </c>
      <c r="D8" s="753">
        <f>Sismik!C59</f>
        <v>0</v>
      </c>
      <c r="E8" s="754" t="str">
        <f>Sismik!I59</f>
        <v xml:space="preserve"> </v>
      </c>
      <c r="F8" s="755">
        <f>Sismik!Z11</f>
        <v>0</v>
      </c>
      <c r="G8" s="1009">
        <f>Sismik!AB11</f>
        <v>0</v>
      </c>
      <c r="H8" s="1010"/>
      <c r="J8" s="43"/>
      <c r="K8" t="str">
        <f>IF(D7=0,"100000",D7)</f>
        <v>100000</v>
      </c>
      <c r="L8" t="str">
        <f>IF(D6=0,"100000",D6)</f>
        <v>100000</v>
      </c>
      <c r="N8" s="573"/>
      <c r="O8" s="573" t="str">
        <f>IF(D11=0,"100000",D11)</f>
        <v>100000</v>
      </c>
      <c r="P8" s="1024" t="e">
        <f>30/((Sismik!C61/D8)+((30-Sismik!C61)/D9))</f>
        <v>#DIV/0!</v>
      </c>
      <c r="Q8" s="573"/>
      <c r="R8" s="573"/>
      <c r="S8" s="573"/>
      <c r="T8" s="573"/>
      <c r="U8" s="573"/>
      <c r="V8" s="573"/>
    </row>
    <row r="9" spans="2:22" ht="15" customHeight="1">
      <c r="B9" s="1005"/>
      <c r="C9" s="711" t="s">
        <v>45</v>
      </c>
      <c r="D9" s="753">
        <f>Sismik!D59</f>
        <v>0</v>
      </c>
      <c r="E9" s="754" t="str">
        <f>Sismik!K59</f>
        <v/>
      </c>
      <c r="F9" s="755">
        <f>Sismik!Z12</f>
        <v>0</v>
      </c>
      <c r="G9" s="1011"/>
      <c r="H9" s="1012"/>
      <c r="J9" s="43"/>
      <c r="K9" t="str">
        <f>IF(D5=0,"100000",D5)</f>
        <v>100000</v>
      </c>
      <c r="L9" t="str">
        <f>IF(D4=0,"100000",D4)</f>
        <v>100000</v>
      </c>
      <c r="N9" s="573"/>
      <c r="O9" s="573" t="str">
        <f>IF(D10=0,"100000",D10)</f>
        <v>100000</v>
      </c>
      <c r="P9" s="1025"/>
      <c r="Q9" s="573"/>
      <c r="R9" s="573"/>
      <c r="S9" s="573"/>
      <c r="T9" s="573"/>
      <c r="U9" s="573"/>
      <c r="V9" s="573"/>
    </row>
    <row r="10" spans="2:22" ht="15" customHeight="1">
      <c r="B10" s="1006" t="s">
        <v>49</v>
      </c>
      <c r="C10" s="711" t="s">
        <v>44</v>
      </c>
      <c r="D10" s="753">
        <f>Sismik!C85</f>
        <v>0</v>
      </c>
      <c r="E10" s="754" t="str">
        <f>Sismik!I85</f>
        <v xml:space="preserve"> </v>
      </c>
      <c r="F10" s="755">
        <f>Sismik!Z13</f>
        <v>0</v>
      </c>
      <c r="G10" s="1009">
        <f>Sismik!AB13</f>
        <v>0</v>
      </c>
      <c r="H10" s="1010"/>
      <c r="N10" s="573"/>
      <c r="O10" s="573" t="str">
        <f>IF(D9=0,"100000",D9)</f>
        <v>100000</v>
      </c>
      <c r="P10" s="1024" t="e">
        <f>30/((Sismik!C87/D10)+((30-Sismik!C87)/D11))</f>
        <v>#DIV/0!</v>
      </c>
      <c r="Q10" s="573"/>
      <c r="R10" s="573"/>
      <c r="S10" s="573"/>
      <c r="T10" s="573"/>
      <c r="U10" s="573"/>
      <c r="V10" s="573"/>
    </row>
    <row r="11" spans="2:22" ht="15" customHeight="1">
      <c r="B11" s="1005"/>
      <c r="C11" s="711" t="s">
        <v>45</v>
      </c>
      <c r="D11" s="753">
        <f>Sismik!D85</f>
        <v>0</v>
      </c>
      <c r="E11" s="754" t="str">
        <f>Sismik!K85</f>
        <v/>
      </c>
      <c r="F11" s="755">
        <f>Sismik!Z14</f>
        <v>0</v>
      </c>
      <c r="G11" s="1011"/>
      <c r="H11" s="1012"/>
      <c r="N11" s="573"/>
      <c r="O11" s="573" t="str">
        <f>IF(D8=0,"100000",D8)</f>
        <v>100000</v>
      </c>
      <c r="P11" s="1025"/>
      <c r="Q11" s="573"/>
      <c r="R11" s="573"/>
      <c r="S11" s="573"/>
      <c r="T11" s="573"/>
      <c r="U11" s="573"/>
      <c r="V11" s="573"/>
    </row>
    <row r="12" spans="2:22" ht="15" customHeight="1">
      <c r="B12" s="1006" t="s">
        <v>50</v>
      </c>
      <c r="C12" s="711" t="s">
        <v>44</v>
      </c>
      <c r="D12" s="753">
        <f>Sismik!C111</f>
        <v>0</v>
      </c>
      <c r="E12" s="754" t="str">
        <f>Sismik!I111</f>
        <v xml:space="preserve"> </v>
      </c>
      <c r="F12" s="755">
        <f>Sismik!Z15</f>
        <v>0</v>
      </c>
      <c r="G12" s="1009">
        <f>Sismik!AB15</f>
        <v>0</v>
      </c>
      <c r="H12" s="1010"/>
      <c r="N12" s="573"/>
      <c r="O12" s="573" t="str">
        <f>IF(D7=0,"100000",D7)</f>
        <v>100000</v>
      </c>
      <c r="P12" s="1024" t="e">
        <f>30/((Sismik!C113/D12)+((30-Sismik!C113)/D13))</f>
        <v>#DIV/0!</v>
      </c>
      <c r="Q12" s="573"/>
      <c r="R12" s="573"/>
      <c r="S12" s="573"/>
      <c r="T12" s="573"/>
      <c r="U12" s="573"/>
      <c r="V12" s="573"/>
    </row>
    <row r="13" spans="2:22" ht="15" customHeight="1">
      <c r="B13" s="1005"/>
      <c r="C13" s="711" t="s">
        <v>45</v>
      </c>
      <c r="D13" s="753">
        <f>Sismik!D111</f>
        <v>0</v>
      </c>
      <c r="E13" s="754" t="str">
        <f>Sismik!K111</f>
        <v/>
      </c>
      <c r="F13" s="755">
        <f>Sismik!Z16</f>
        <v>0</v>
      </c>
      <c r="G13" s="1011"/>
      <c r="H13" s="1012"/>
      <c r="N13" s="573"/>
      <c r="O13" s="573" t="str">
        <f>IF(D6=0,"100000",D6)</f>
        <v>100000</v>
      </c>
      <c r="P13" s="1025"/>
      <c r="Q13" s="573"/>
      <c r="R13" s="573"/>
      <c r="S13" s="573"/>
      <c r="T13" s="573"/>
      <c r="U13" s="573"/>
      <c r="V13" s="573"/>
    </row>
    <row r="14" spans="2:22" ht="15" customHeight="1">
      <c r="B14" s="1004" t="s">
        <v>51</v>
      </c>
      <c r="C14" s="710" t="s">
        <v>44</v>
      </c>
      <c r="D14" s="750">
        <f>Sismik!C137</f>
        <v>0</v>
      </c>
      <c r="E14" s="751" t="str">
        <f>Sismik!I137</f>
        <v xml:space="preserve"> </v>
      </c>
      <c r="F14" s="755">
        <f>Sismik!Z17</f>
        <v>0</v>
      </c>
      <c r="G14" s="1009">
        <f>Sismik!AB17</f>
        <v>0</v>
      </c>
      <c r="H14" s="1010"/>
      <c r="N14" s="573"/>
      <c r="O14" s="573" t="str">
        <f>IF(D5=0,"100000",D5)</f>
        <v>100000</v>
      </c>
      <c r="P14" s="1024" t="e">
        <f>30/((Sismik!C139/D14)+((30-Sismik!C139)/D15))</f>
        <v>#DIV/0!</v>
      </c>
      <c r="Q14" s="573"/>
      <c r="R14" s="573"/>
      <c r="S14" s="573"/>
      <c r="T14" s="573"/>
      <c r="U14" s="573"/>
      <c r="V14" s="573"/>
    </row>
    <row r="15" spans="2:22" ht="15" customHeight="1">
      <c r="B15" s="1005"/>
      <c r="C15" s="711" t="s">
        <v>45</v>
      </c>
      <c r="D15" s="753">
        <f>Sismik!D137</f>
        <v>0</v>
      </c>
      <c r="E15" s="754" t="str">
        <f>Sismik!K137</f>
        <v/>
      </c>
      <c r="F15" s="755">
        <f>Sismik!Z18</f>
        <v>0</v>
      </c>
      <c r="G15" s="1011"/>
      <c r="H15" s="1012"/>
      <c r="N15" s="573"/>
      <c r="O15" s="573" t="str">
        <f>IF(D4=0,"100000",D4)</f>
        <v>100000</v>
      </c>
      <c r="P15" s="1025"/>
      <c r="Q15" s="573"/>
      <c r="R15" s="573"/>
      <c r="S15" s="573"/>
      <c r="T15" s="573"/>
      <c r="U15" s="573"/>
      <c r="V15" s="573"/>
    </row>
    <row r="16" spans="2:22">
      <c r="C16" s="1"/>
      <c r="N16" s="573"/>
      <c r="O16" s="573"/>
      <c r="P16" s="573"/>
      <c r="Q16" s="573"/>
      <c r="R16" s="573"/>
      <c r="S16" s="573"/>
      <c r="T16" s="573"/>
      <c r="U16" s="573"/>
      <c r="V16" s="573"/>
    </row>
    <row r="17" spans="2:22">
      <c r="C17" s="1007" t="s">
        <v>146</v>
      </c>
      <c r="D17" s="1008"/>
      <c r="E17" s="166">
        <f>MIN(L4:L9)</f>
        <v>0</v>
      </c>
      <c r="F17" s="166">
        <f>MAX(L4:L9)</f>
        <v>0</v>
      </c>
      <c r="G17" s="187" t="str">
        <f>IF(AND(E17&gt;1,E17&lt;=600),"Çok kolay",IF(AND(E17&gt;1500,E17&lt;=2100),"Zor",IF(AND(E17&gt;600,E17&lt;=900),"Kolay",IF(AND(E17&gt;900,E17&lt;=1500),"Orta",IF(AND(E17&gt;2100,E17&lt;=2400),"Orta",IF(E17=0," ",IF(E17&gt;2400,"Son Derece Zor")))))))</f>
        <v xml:space="preserve"> </v>
      </c>
      <c r="H17" s="863" t="str">
        <f>IF(AND(F17&gt;1,F17&lt;=600),"Çok kolay",IF(AND(F17&gt;1500,F17&lt;=2100),"Zor",IF(AND(F17&gt;600,F17&lt;=900),"Kolay",IF(AND(F17&gt;900,F17&lt;=1500),"Orta",IF(AND(F17&gt;2100,F17&lt;=2400),"Çok Zor",IF(F17=0," ",IF(F17&gt;2400,"Son Derece Zor")))))))</f>
        <v xml:space="preserve"> </v>
      </c>
      <c r="I17" s="872" t="str">
        <f t="shared" ref="I17" si="0">IF(AND(G17&gt;1,G17&lt;=600),"Çok kolay",IF(AND(G17&gt;1500,G17&lt;=2100),"Zor",IF(AND(G17&gt;600,G17&lt;=900),"Kolay",IF(AND(G17&gt;900,G17&lt;=1500),"Orta",IF(AND(G17&gt;2100,G17&lt;=2400),"Orta",IF(G17=0," ",IF(G17&gt;2400,"Son Derece Zor")))))))</f>
        <v>Son Derece Zor</v>
      </c>
      <c r="J17" s="17" t="s">
        <v>133</v>
      </c>
      <c r="N17" s="573"/>
      <c r="O17" s="573"/>
      <c r="P17" s="573"/>
      <c r="Q17" s="573"/>
      <c r="R17" s="573"/>
      <c r="S17" s="573"/>
      <c r="T17" s="573"/>
      <c r="U17" s="573"/>
      <c r="V17" s="573"/>
    </row>
    <row r="18" spans="2:22">
      <c r="C18" s="1007" t="s">
        <v>148</v>
      </c>
      <c r="D18" s="1008"/>
      <c r="E18" s="166">
        <f>MIN(K4:K9)</f>
        <v>0</v>
      </c>
      <c r="F18" s="364">
        <f>MAX(K4:K9)</f>
        <v>0</v>
      </c>
      <c r="G18" s="178" t="str">
        <f>IF(AND(E18&gt;1,E18&lt;=600),"Çok kolay",IF(AND(E18&gt;1500,E18&lt;=2100),"Zor",IF(AND(E18&gt;600,E18&lt;=900),"Kolay",IF(AND(E18&gt;900,E18&lt;=1500),"Orta",IF(AND(E18&gt;2100,E18&lt;=2400),"Orta",IF(E18=0,"",IF(E18&gt;2400,"Son Derece Zor")))))))</f>
        <v/>
      </c>
      <c r="H18" s="863" t="str">
        <f>IF(AND(F18&gt;1,F18&lt;=600),"Çok kolay",IF(AND(F18&gt;1500,F18&lt;=2100),"Zor",IF(AND(F18&gt;600,F18&lt;=900),"Kolay",IF(AND(F18&gt;900,F18&lt;=1500),"Orta",IF(AND(F18&gt;2100,F18&lt;=2400),"Çok Zor",IF(F18=0,"",IF(F18&gt;2400,"Son Derece Zor")))))))</f>
        <v/>
      </c>
      <c r="I18" s="872" t="str">
        <f t="shared" ref="I18" si="1">IF(AND(G18&gt;1,G18&lt;=600),"Çok kolay",IF(AND(G18&gt;1500,G18&lt;=2100),"Zor",IF(AND(G18&gt;600,G18&lt;=900),"Kolay",IF(AND(G18&gt;900,G18&lt;=1500),"Orta",IF(AND(G18&gt;2100,G18&lt;=2400),"Orta",IF(G18=0,"",IF(G18&gt;2400,"Son Derece Zor")))))))</f>
        <v>Son Derece Zor</v>
      </c>
      <c r="J18" s="17" t="s">
        <v>133</v>
      </c>
      <c r="M18" s="43"/>
      <c r="N18" s="828"/>
      <c r="O18" s="573"/>
      <c r="P18" s="573"/>
      <c r="Q18" s="573"/>
      <c r="R18" s="573"/>
      <c r="S18" s="573"/>
      <c r="T18" s="573"/>
      <c r="U18" s="573"/>
      <c r="V18" s="573"/>
    </row>
    <row r="19" spans="2:22">
      <c r="N19" s="573"/>
      <c r="O19" s="573"/>
      <c r="P19" s="573"/>
      <c r="Q19" s="573"/>
      <c r="R19" s="573"/>
      <c r="S19" s="573"/>
      <c r="T19" s="573"/>
      <c r="U19" s="573"/>
      <c r="V19" s="573"/>
    </row>
    <row r="20" spans="2:22">
      <c r="B20" s="940"/>
      <c r="C20" s="940"/>
      <c r="D20" s="43"/>
    </row>
    <row r="25" spans="2:22">
      <c r="G25" s="23" t="str">
        <f>IF(AND(E25&gt;1,E25&lt;=600),"Çok kolay",IF(AND(E25&gt;1500,E25&lt;=2100),"Zor",IF(AND(E25&gt;600,E25&lt;=900),"Kolay",IF(AND(E25&gt;900,E25&lt;=1500),"Orta",IF(AND(E25&gt;2100,E25&lt;=2400),"Orta",IF(E25=0,"",IF(E25&gt;2400,"Son Derece Zor")))))))</f>
        <v/>
      </c>
    </row>
    <row r="26" spans="2:22">
      <c r="M26" s="7" t="str">
        <f>IF(AND(K26&gt;1,K26&lt;=600),"Çok kolay",IF(AND(K26&gt;1500,K26&lt;=2100),"Zor",IF(AND(K26&gt;600,K26&lt;=900),"Kolay",IF(AND(K26&gt;900,K26&lt;=1500),"Orta",IF(AND(K26&gt;2100,K26&lt;=2400),"Orta",IF(K26=0," ",IF(K26&gt;2400,"Son Derece Zor")))))))</f>
        <v xml:space="preserve"> </v>
      </c>
    </row>
    <row r="30" spans="2:22" ht="15.75" thickBot="1">
      <c r="C30" s="999"/>
      <c r="D30" s="999"/>
      <c r="E30" s="999"/>
    </row>
    <row r="31" spans="2:22" ht="15.75" thickBot="1">
      <c r="C31" s="136" t="s">
        <v>360</v>
      </c>
      <c r="D31" s="1000" t="s">
        <v>370</v>
      </c>
      <c r="E31" s="1001"/>
    </row>
    <row r="32" spans="2:22" ht="15.75" customHeight="1">
      <c r="C32" s="168" t="s">
        <v>361</v>
      </c>
      <c r="D32" s="1002" t="s">
        <v>359</v>
      </c>
      <c r="E32" s="1003"/>
    </row>
    <row r="33" spans="3:7" ht="15.75" customHeight="1">
      <c r="C33" s="169" t="s">
        <v>362</v>
      </c>
      <c r="D33" s="991" t="s">
        <v>169</v>
      </c>
      <c r="E33" s="992"/>
    </row>
    <row r="34" spans="3:7">
      <c r="C34" s="169" t="s">
        <v>363</v>
      </c>
      <c r="D34" s="991" t="s">
        <v>170</v>
      </c>
      <c r="E34" s="992"/>
    </row>
    <row r="35" spans="3:7">
      <c r="C35" s="169" t="s">
        <v>364</v>
      </c>
      <c r="D35" s="993" t="s">
        <v>171</v>
      </c>
      <c r="E35" s="994"/>
    </row>
    <row r="36" spans="3:7">
      <c r="C36" s="170" t="s">
        <v>365</v>
      </c>
      <c r="D36" s="995" t="s">
        <v>172</v>
      </c>
      <c r="E36" s="996"/>
    </row>
    <row r="37" spans="3:7" ht="15.75" thickBot="1">
      <c r="C37" s="171" t="s">
        <v>366</v>
      </c>
      <c r="D37" s="997" t="s">
        <v>173</v>
      </c>
      <c r="E37" s="998"/>
    </row>
    <row r="40" spans="3:7">
      <c r="C40" s="1016" t="s">
        <v>40</v>
      </c>
      <c r="D40" s="880" t="s">
        <v>41</v>
      </c>
      <c r="E40" s="880" t="s">
        <v>42</v>
      </c>
      <c r="F40" s="880" t="s">
        <v>369</v>
      </c>
      <c r="G40" s="880"/>
    </row>
    <row r="41" spans="3:7" ht="15.75" customHeight="1" thickBot="1">
      <c r="C41" s="1017"/>
      <c r="D41" s="1018"/>
      <c r="E41" s="1018"/>
      <c r="F41" s="880"/>
      <c r="G41" s="880"/>
    </row>
    <row r="42" spans="3:7" ht="15.75">
      <c r="C42" s="1015" t="s">
        <v>46</v>
      </c>
      <c r="D42" s="172" t="s">
        <v>44</v>
      </c>
      <c r="E42" s="756">
        <f t="shared" ref="E42:E53" si="2">D4</f>
        <v>0</v>
      </c>
      <c r="F42" s="1019" t="str">
        <f t="shared" ref="F42:F53" si="3">IF(AND(E42&gt;1,E42&lt;=458),"Cıvık - Sıvı",IF(AND(E42&gt;458,E42&lt;=1220),"Çok Gevşek",IF(AND(E42&gt;1220,E42&lt;=1525),"Gevşek",IF(AND(E42&gt;1525,E42&lt;=1830),"Katı - Sıkı",IF(AND(E42&gt;1830,E42&lt;=2135),"Katı",IF(E42=0," ",IF(E42&gt;2135,"Sağlam Kaya")))))))</f>
        <v xml:space="preserve"> </v>
      </c>
      <c r="G42" s="1020"/>
    </row>
    <row r="43" spans="3:7" ht="15.75">
      <c r="C43" s="1014"/>
      <c r="D43" s="173" t="s">
        <v>45</v>
      </c>
      <c r="E43" s="753">
        <f t="shared" si="2"/>
        <v>0</v>
      </c>
      <c r="F43" s="1019" t="str">
        <f t="shared" si="3"/>
        <v xml:space="preserve"> </v>
      </c>
      <c r="G43" s="1020"/>
    </row>
    <row r="44" spans="3:7" ht="15.75">
      <c r="C44" s="1013" t="s">
        <v>47</v>
      </c>
      <c r="D44" s="173" t="s">
        <v>44</v>
      </c>
      <c r="E44" s="753">
        <f t="shared" si="2"/>
        <v>0</v>
      </c>
      <c r="F44" s="1019" t="str">
        <f t="shared" si="3"/>
        <v xml:space="preserve"> </v>
      </c>
      <c r="G44" s="1020"/>
    </row>
    <row r="45" spans="3:7" ht="15.75">
      <c r="C45" s="1014"/>
      <c r="D45" s="173" t="s">
        <v>45</v>
      </c>
      <c r="E45" s="753">
        <f t="shared" si="2"/>
        <v>0</v>
      </c>
      <c r="F45" s="1019" t="str">
        <f t="shared" si="3"/>
        <v xml:space="preserve"> </v>
      </c>
      <c r="G45" s="1020"/>
    </row>
    <row r="46" spans="3:7" ht="15.75">
      <c r="C46" s="1013" t="s">
        <v>48</v>
      </c>
      <c r="D46" s="173" t="s">
        <v>44</v>
      </c>
      <c r="E46" s="753">
        <f t="shared" si="2"/>
        <v>0</v>
      </c>
      <c r="F46" s="1019" t="str">
        <f t="shared" si="3"/>
        <v xml:space="preserve"> </v>
      </c>
      <c r="G46" s="1020"/>
    </row>
    <row r="47" spans="3:7" ht="15.75">
      <c r="C47" s="1014"/>
      <c r="D47" s="173" t="s">
        <v>45</v>
      </c>
      <c r="E47" s="753">
        <f t="shared" si="2"/>
        <v>0</v>
      </c>
      <c r="F47" s="1019" t="str">
        <f t="shared" si="3"/>
        <v xml:space="preserve"> </v>
      </c>
      <c r="G47" s="1020"/>
    </row>
    <row r="48" spans="3:7" ht="15.75">
      <c r="C48" s="1013" t="s">
        <v>49</v>
      </c>
      <c r="D48" s="173" t="s">
        <v>44</v>
      </c>
      <c r="E48" s="753">
        <f t="shared" si="2"/>
        <v>0</v>
      </c>
      <c r="F48" s="1019" t="str">
        <f t="shared" si="3"/>
        <v xml:space="preserve"> </v>
      </c>
      <c r="G48" s="1020"/>
    </row>
    <row r="49" spans="3:7" ht="15.75">
      <c r="C49" s="1014"/>
      <c r="D49" s="173" t="s">
        <v>45</v>
      </c>
      <c r="E49" s="753">
        <f t="shared" si="2"/>
        <v>0</v>
      </c>
      <c r="F49" s="1019" t="str">
        <f t="shared" si="3"/>
        <v xml:space="preserve"> </v>
      </c>
      <c r="G49" s="1020"/>
    </row>
    <row r="50" spans="3:7" ht="15.75">
      <c r="C50" s="1013" t="s">
        <v>50</v>
      </c>
      <c r="D50" s="173" t="s">
        <v>44</v>
      </c>
      <c r="E50" s="753">
        <f t="shared" si="2"/>
        <v>0</v>
      </c>
      <c r="F50" s="1019" t="str">
        <f t="shared" si="3"/>
        <v xml:space="preserve"> </v>
      </c>
      <c r="G50" s="1020"/>
    </row>
    <row r="51" spans="3:7" ht="15.75">
      <c r="C51" s="1014"/>
      <c r="D51" s="173" t="s">
        <v>45</v>
      </c>
      <c r="E51" s="753">
        <f t="shared" si="2"/>
        <v>0</v>
      </c>
      <c r="F51" s="1019" t="str">
        <f t="shared" si="3"/>
        <v xml:space="preserve"> </v>
      </c>
      <c r="G51" s="1020"/>
    </row>
    <row r="52" spans="3:7" ht="15.75">
      <c r="C52" s="1015" t="s">
        <v>51</v>
      </c>
      <c r="D52" s="172" t="s">
        <v>44</v>
      </c>
      <c r="E52" s="750">
        <f t="shared" si="2"/>
        <v>0</v>
      </c>
      <c r="F52" s="1019" t="str">
        <f t="shared" si="3"/>
        <v xml:space="preserve"> </v>
      </c>
      <c r="G52" s="1020"/>
    </row>
    <row r="53" spans="3:7" ht="15.75">
      <c r="C53" s="1014"/>
      <c r="D53" s="173" t="s">
        <v>45</v>
      </c>
      <c r="E53" s="753">
        <f t="shared" si="2"/>
        <v>0</v>
      </c>
      <c r="F53" s="1019" t="str">
        <f t="shared" si="3"/>
        <v xml:space="preserve"> </v>
      </c>
      <c r="G53" s="1020"/>
    </row>
    <row r="300" spans="1:2">
      <c r="A300" t="s">
        <v>422</v>
      </c>
      <c r="B300">
        <f>COUNTIF(E4:E15,"kolay")</f>
        <v>0</v>
      </c>
    </row>
    <row r="301" spans="1:2">
      <c r="A301" t="s">
        <v>423</v>
      </c>
      <c r="B301">
        <f>COUNTIF(E4:E15,"Zor")</f>
        <v>0</v>
      </c>
    </row>
    <row r="302" spans="1:2">
      <c r="A302" t="s">
        <v>424</v>
      </c>
      <c r="B302">
        <f>COUNTIF(E4:E15,"Çok kolay")</f>
        <v>0</v>
      </c>
    </row>
    <row r="303" spans="1:2">
      <c r="A303" t="s">
        <v>425</v>
      </c>
      <c r="B303">
        <f>COUNTIF(E4:E15,"Orta")</f>
        <v>0</v>
      </c>
    </row>
    <row r="304" spans="1:2">
      <c r="A304" t="s">
        <v>426</v>
      </c>
      <c r="B304">
        <f>COUNTIF(E4:E15,"Son derece zor")</f>
        <v>0</v>
      </c>
    </row>
    <row r="305" spans="1:2">
      <c r="A305" t="s">
        <v>427</v>
      </c>
      <c r="B305">
        <f>COUNTIF(E4:E15,"Çok Zor")</f>
        <v>0</v>
      </c>
    </row>
  </sheetData>
  <sheetProtection algorithmName="SHA-512" hashValue="N2j3mrZzqLaYRTePz5iDcLblASOy8AP0lEYlIYJkskU6zCU4EXcBeGG+4VMvTTJ1gyLWsyV+MWlIQw2MF17Org==" saltValue="ttT5+AwWBVxwUMLXzJYkhQ==" spinCount="100000" sheet="1" objects="1" scenarios="1"/>
  <mergeCells count="55">
    <mergeCell ref="P14:P15"/>
    <mergeCell ref="P4:P5"/>
    <mergeCell ref="P6:P7"/>
    <mergeCell ref="P8:P9"/>
    <mergeCell ref="P10:P11"/>
    <mergeCell ref="P12:P13"/>
    <mergeCell ref="C1:H2"/>
    <mergeCell ref="G4:H5"/>
    <mergeCell ref="G6:H7"/>
    <mergeCell ref="G8:H9"/>
    <mergeCell ref="G10:H11"/>
    <mergeCell ref="G3:H3"/>
    <mergeCell ref="F50:G50"/>
    <mergeCell ref="F51:G51"/>
    <mergeCell ref="F53:G53"/>
    <mergeCell ref="F52:G52"/>
    <mergeCell ref="F45:G45"/>
    <mergeCell ref="F46:G46"/>
    <mergeCell ref="F47:G47"/>
    <mergeCell ref="F48:G48"/>
    <mergeCell ref="F49:G49"/>
    <mergeCell ref="F40:G41"/>
    <mergeCell ref="F42:G42"/>
    <mergeCell ref="F43:G43"/>
    <mergeCell ref="F44:G44"/>
    <mergeCell ref="C48:C49"/>
    <mergeCell ref="E40:E41"/>
    <mergeCell ref="C50:C51"/>
    <mergeCell ref="C52:C53"/>
    <mergeCell ref="C40:C41"/>
    <mergeCell ref="D40:D41"/>
    <mergeCell ref="C42:C43"/>
    <mergeCell ref="C44:C45"/>
    <mergeCell ref="C46:C47"/>
    <mergeCell ref="H17:I17"/>
    <mergeCell ref="H18:I18"/>
    <mergeCell ref="B20:C20"/>
    <mergeCell ref="B12:B13"/>
    <mergeCell ref="B14:B15"/>
    <mergeCell ref="G12:H13"/>
    <mergeCell ref="G14:H15"/>
    <mergeCell ref="B4:B5"/>
    <mergeCell ref="B6:B7"/>
    <mergeCell ref="B8:B9"/>
    <mergeCell ref="B10:B11"/>
    <mergeCell ref="C18:D18"/>
    <mergeCell ref="C17:D17"/>
    <mergeCell ref="D34:E34"/>
    <mergeCell ref="D35:E35"/>
    <mergeCell ref="D36:E36"/>
    <mergeCell ref="D37:E37"/>
    <mergeCell ref="C30:E30"/>
    <mergeCell ref="D31:E31"/>
    <mergeCell ref="D32:E32"/>
    <mergeCell ref="D33:E33"/>
  </mergeCells>
  <conditionalFormatting sqref="E42:G53">
    <cfRule type="containsErrors" dxfId="295" priority="3">
      <formula>ISERROR(E42)</formula>
    </cfRule>
  </conditionalFormatting>
  <conditionalFormatting sqref="P4:P15">
    <cfRule type="containsErrors" dxfId="294" priority="1">
      <formula>ISERROR(P4)</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W308"/>
  <sheetViews>
    <sheetView showGridLines="0" showRowColHeaders="0" workbookViewId="0">
      <selection activeCell="P39" sqref="P39"/>
    </sheetView>
  </sheetViews>
  <sheetFormatPr defaultRowHeight="15"/>
  <cols>
    <col min="2" max="2" width="9.140625" customWidth="1"/>
    <col min="3" max="3" width="15.7109375" customWidth="1"/>
    <col min="4" max="4" width="8.85546875" customWidth="1"/>
    <col min="5" max="5" width="31" customWidth="1"/>
    <col min="6" max="8" width="19.7109375" customWidth="1"/>
    <col min="10" max="10" width="16.5703125" customWidth="1"/>
    <col min="11" max="11" width="9.140625" style="3" hidden="1" customWidth="1"/>
    <col min="12" max="12" width="4.140625" style="3" hidden="1" customWidth="1"/>
  </cols>
  <sheetData>
    <row r="1" spans="2:23">
      <c r="B1" s="135"/>
      <c r="C1" s="1021" t="s">
        <v>200</v>
      </c>
      <c r="D1" s="1021"/>
      <c r="E1" s="1021"/>
      <c r="F1" s="1021"/>
      <c r="G1" s="1021"/>
      <c r="H1" s="1021"/>
      <c r="M1" s="51"/>
    </row>
    <row r="2" spans="2:23">
      <c r="B2" s="138"/>
      <c r="C2" s="1021"/>
      <c r="D2" s="1021"/>
      <c r="E2" s="1021"/>
      <c r="F2" s="1021"/>
      <c r="G2" s="1021"/>
      <c r="H2" s="1021"/>
      <c r="M2" s="51"/>
    </row>
    <row r="3" spans="2:23" ht="45.75" thickBot="1">
      <c r="B3" s="548" t="s">
        <v>661</v>
      </c>
      <c r="C3" s="549" t="s">
        <v>41</v>
      </c>
      <c r="D3" s="549" t="s">
        <v>66</v>
      </c>
      <c r="E3" s="549" t="s">
        <v>43</v>
      </c>
      <c r="F3" s="549" t="s">
        <v>67</v>
      </c>
      <c r="G3" s="549" t="s">
        <v>54</v>
      </c>
      <c r="H3" s="549" t="s">
        <v>55</v>
      </c>
      <c r="J3" s="1047" t="s">
        <v>317</v>
      </c>
      <c r="K3" s="1047"/>
      <c r="L3" s="1047"/>
      <c r="M3" s="1047"/>
      <c r="N3" s="1047"/>
      <c r="O3" s="1047"/>
      <c r="P3" s="1047"/>
      <c r="Q3" s="1047"/>
      <c r="S3" s="989"/>
      <c r="T3" s="989"/>
      <c r="U3" s="989"/>
      <c r="V3" s="989"/>
      <c r="W3" s="989"/>
    </row>
    <row r="4" spans="2:23" ht="15" customHeight="1" thickBot="1">
      <c r="B4" s="1004" t="s">
        <v>46</v>
      </c>
      <c r="C4" s="712" t="s">
        <v>44</v>
      </c>
      <c r="D4" s="757">
        <f>Sismik!C7</f>
        <v>0</v>
      </c>
      <c r="E4" s="758" t="str">
        <f>Sismik!G2</f>
        <v/>
      </c>
      <c r="F4" s="758" t="str">
        <f>Sismik!G7</f>
        <v/>
      </c>
      <c r="G4" s="759">
        <f>'P dalga Hızı'!F4</f>
        <v>0</v>
      </c>
      <c r="H4" s="1057">
        <f>'P dalga Hızı'!G4</f>
        <v>0</v>
      </c>
      <c r="K4" s="3" t="str">
        <f>IF(D15=0,"100000",D15)</f>
        <v>100000</v>
      </c>
      <c r="L4" s="69" t="str">
        <f>IF(D14=0,"100000",(D14))</f>
        <v>100000</v>
      </c>
      <c r="M4" s="1066" t="s">
        <v>309</v>
      </c>
      <c r="N4" s="1067"/>
      <c r="O4" s="1068" t="s">
        <v>310</v>
      </c>
      <c r="P4" s="1069"/>
      <c r="S4" s="270"/>
      <c r="T4" s="1052"/>
      <c r="U4" s="1052"/>
      <c r="V4" s="1052"/>
      <c r="W4" s="1052"/>
    </row>
    <row r="5" spans="2:23" ht="15" customHeight="1">
      <c r="B5" s="1005"/>
      <c r="C5" s="713" t="s">
        <v>45</v>
      </c>
      <c r="D5" s="760">
        <f>Sismik!D7</f>
        <v>0</v>
      </c>
      <c r="E5" s="761" t="str">
        <f>Sismik!H3</f>
        <v/>
      </c>
      <c r="F5" s="761" t="str">
        <f>Sismik!H7</f>
        <v/>
      </c>
      <c r="G5" s="762">
        <f>'P dalga Hızı'!F5</f>
        <v>0</v>
      </c>
      <c r="H5" s="1027"/>
      <c r="K5" s="3" t="str">
        <f>IF(D13=0,"100000",D13)</f>
        <v>100000</v>
      </c>
      <c r="L5" s="69" t="str">
        <f>IF(D12=0,"100000",D12)</f>
        <v>100000</v>
      </c>
      <c r="M5" s="1048" t="s">
        <v>260</v>
      </c>
      <c r="N5" s="1049"/>
      <c r="O5" s="1064" t="s">
        <v>314</v>
      </c>
      <c r="P5" s="1065"/>
      <c r="S5" s="1029"/>
      <c r="T5" s="1030"/>
      <c r="U5" s="1030"/>
      <c r="V5" s="965"/>
      <c r="W5" s="965"/>
    </row>
    <row r="6" spans="2:23" ht="15" customHeight="1">
      <c r="B6" s="1006" t="s">
        <v>47</v>
      </c>
      <c r="C6" s="713" t="s">
        <v>44</v>
      </c>
      <c r="D6" s="760">
        <f>Sismik!C34</f>
        <v>0</v>
      </c>
      <c r="E6" s="761" t="str">
        <f>Sismik!G29</f>
        <v/>
      </c>
      <c r="F6" s="761" t="str">
        <f>Sismik!G34</f>
        <v/>
      </c>
      <c r="G6" s="762">
        <f>'P dalga Hızı'!F6</f>
        <v>0</v>
      </c>
      <c r="H6" s="1026">
        <f>'P dalga Hızı'!G6</f>
        <v>0</v>
      </c>
      <c r="K6" s="3" t="str">
        <f>IF(D11=0,"100000",D11)</f>
        <v>100000</v>
      </c>
      <c r="L6" s="3" t="str">
        <f>IF(D10=0,"100000",D10)</f>
        <v>100000</v>
      </c>
      <c r="M6" s="1031" t="s">
        <v>311</v>
      </c>
      <c r="N6" s="1032"/>
      <c r="O6" s="1033" t="s">
        <v>172</v>
      </c>
      <c r="P6" s="1034"/>
      <c r="S6" s="1029"/>
      <c r="T6" s="1030"/>
      <c r="U6" s="1030"/>
      <c r="V6" s="965"/>
      <c r="W6" s="965"/>
    </row>
    <row r="7" spans="2:23" ht="15" customHeight="1">
      <c r="B7" s="1005"/>
      <c r="C7" s="713" t="s">
        <v>45</v>
      </c>
      <c r="D7" s="760">
        <f>Sismik!D34</f>
        <v>0</v>
      </c>
      <c r="E7" s="761" t="str">
        <f>Sismik!H30</f>
        <v/>
      </c>
      <c r="F7" s="761" t="str">
        <f>Sismik!H34</f>
        <v/>
      </c>
      <c r="G7" s="762">
        <f>'P dalga Hızı'!F7</f>
        <v>0</v>
      </c>
      <c r="H7" s="1027"/>
      <c r="K7" s="3" t="str">
        <f>IF(D9=0,"100000",D9)</f>
        <v>100000</v>
      </c>
      <c r="L7" s="3" t="str">
        <f>IF(D8=0,"100000",D8)</f>
        <v>100000</v>
      </c>
      <c r="M7" s="1031" t="s">
        <v>312</v>
      </c>
      <c r="N7" s="1032"/>
      <c r="O7" s="1033" t="s">
        <v>315</v>
      </c>
      <c r="P7" s="1034"/>
      <c r="S7" s="1029"/>
      <c r="T7" s="1030"/>
      <c r="U7" s="1030"/>
      <c r="V7" s="965"/>
      <c r="W7" s="965"/>
    </row>
    <row r="8" spans="2:23" ht="15" customHeight="1" thickBot="1">
      <c r="B8" s="1006" t="s">
        <v>48</v>
      </c>
      <c r="C8" s="713" t="s">
        <v>44</v>
      </c>
      <c r="D8" s="760">
        <f>Sismik!C60</f>
        <v>0</v>
      </c>
      <c r="E8" s="761" t="str">
        <f>Sismik!G55</f>
        <v/>
      </c>
      <c r="F8" s="761" t="str">
        <f>Sismik!G60</f>
        <v/>
      </c>
      <c r="G8" s="762">
        <f>'P dalga Hızı'!F8</f>
        <v>0</v>
      </c>
      <c r="H8" s="1026">
        <f>'P dalga Hızı'!G8</f>
        <v>0</v>
      </c>
      <c r="K8" s="3" t="str">
        <f>IF(D7=0,"100000",D7)</f>
        <v>100000</v>
      </c>
      <c r="L8" s="3" t="str">
        <f>IF(D6=0,"100000",D6)</f>
        <v>100000</v>
      </c>
      <c r="M8" s="1050" t="s">
        <v>313</v>
      </c>
      <c r="N8" s="1051"/>
      <c r="O8" s="997" t="s">
        <v>316</v>
      </c>
      <c r="P8" s="998"/>
      <c r="S8" s="1029"/>
      <c r="T8" s="1030"/>
      <c r="U8" s="1030"/>
      <c r="V8" s="965"/>
      <c r="W8" s="965"/>
    </row>
    <row r="9" spans="2:23" ht="15" customHeight="1">
      <c r="B9" s="1005"/>
      <c r="C9" s="713" t="s">
        <v>45</v>
      </c>
      <c r="D9" s="760">
        <f>Sismik!D60</f>
        <v>0</v>
      </c>
      <c r="E9" s="761" t="str">
        <f>Sismik!H56</f>
        <v/>
      </c>
      <c r="F9" s="761" t="str">
        <f>Sismik!H60</f>
        <v/>
      </c>
      <c r="G9" s="762">
        <f>'P dalga Hızı'!F9</f>
        <v>0</v>
      </c>
      <c r="H9" s="1027"/>
      <c r="K9" s="3" t="str">
        <f>IF(D5=0,"100000",D5)</f>
        <v>100000</v>
      </c>
      <c r="L9" s="3" t="str">
        <f>IF(D4=0,"100000",D4)</f>
        <v>100000</v>
      </c>
      <c r="M9" s="51"/>
      <c r="S9" s="1029"/>
      <c r="T9" s="1030"/>
      <c r="U9" s="1030"/>
      <c r="V9" s="965"/>
      <c r="W9" s="965"/>
    </row>
    <row r="10" spans="2:23" ht="15" customHeight="1" thickBot="1">
      <c r="B10" s="1006" t="s">
        <v>49</v>
      </c>
      <c r="C10" s="713" t="s">
        <v>44</v>
      </c>
      <c r="D10" s="760">
        <f>Sismik!C86</f>
        <v>0</v>
      </c>
      <c r="E10" s="761" t="str">
        <f>Sismik!G81</f>
        <v/>
      </c>
      <c r="F10" s="761" t="str">
        <f>Sismik!G86</f>
        <v/>
      </c>
      <c r="G10" s="762">
        <f>'P dalga Hızı'!F10</f>
        <v>0</v>
      </c>
      <c r="H10" s="1026">
        <f>'P dalga Hızı'!G10</f>
        <v>0</v>
      </c>
      <c r="J10" s="1047" t="s">
        <v>325</v>
      </c>
      <c r="K10" s="1047"/>
      <c r="L10" s="1047"/>
      <c r="M10" s="1047"/>
      <c r="N10" s="1047"/>
      <c r="O10" s="1047"/>
      <c r="P10" s="1047"/>
      <c r="Q10" s="1047"/>
      <c r="S10" s="1029"/>
      <c r="T10" s="1030"/>
      <c r="U10" s="1030"/>
      <c r="V10" s="965"/>
      <c r="W10" s="965"/>
    </row>
    <row r="11" spans="2:23" ht="15" customHeight="1" thickBot="1">
      <c r="B11" s="1005"/>
      <c r="C11" s="713" t="s">
        <v>45</v>
      </c>
      <c r="D11" s="760">
        <f>Sismik!D86</f>
        <v>0</v>
      </c>
      <c r="E11" s="761" t="str">
        <f>Sismik!H82</f>
        <v/>
      </c>
      <c r="F11" s="761" t="str">
        <f>Sismik!H86</f>
        <v/>
      </c>
      <c r="G11" s="762">
        <f>'P dalga Hızı'!F11</f>
        <v>0</v>
      </c>
      <c r="H11" s="1027"/>
      <c r="M11" s="1053" t="s">
        <v>318</v>
      </c>
      <c r="N11" s="1054"/>
      <c r="O11" s="1055" t="s">
        <v>170</v>
      </c>
      <c r="P11" s="1056"/>
      <c r="S11" s="1029"/>
      <c r="T11" s="1030"/>
      <c r="U11" s="1030"/>
      <c r="V11" s="965"/>
      <c r="W11" s="965"/>
    </row>
    <row r="12" spans="2:23" ht="15" customHeight="1">
      <c r="B12" s="1006" t="s">
        <v>50</v>
      </c>
      <c r="C12" s="713" t="s">
        <v>44</v>
      </c>
      <c r="D12" s="760">
        <f>Sismik!C112</f>
        <v>0</v>
      </c>
      <c r="E12" s="761" t="str">
        <f>Sismik!G107</f>
        <v/>
      </c>
      <c r="F12" s="761" t="str">
        <f>Sismik!G112</f>
        <v/>
      </c>
      <c r="G12" s="762">
        <f>'P dalga Hızı'!F12</f>
        <v>0</v>
      </c>
      <c r="H12" s="1026">
        <f>'P dalga Hızı'!G12</f>
        <v>0</v>
      </c>
      <c r="M12" s="1048" t="s">
        <v>319</v>
      </c>
      <c r="N12" s="1049"/>
      <c r="O12" s="1064" t="s">
        <v>322</v>
      </c>
      <c r="P12" s="1065"/>
      <c r="S12" s="1029"/>
      <c r="T12" s="1030"/>
      <c r="U12" s="1030"/>
      <c r="V12" s="965"/>
      <c r="W12" s="965"/>
    </row>
    <row r="13" spans="2:23" ht="15" customHeight="1">
      <c r="B13" s="1005"/>
      <c r="C13" s="713" t="s">
        <v>45</v>
      </c>
      <c r="D13" s="760">
        <f>Sismik!D112</f>
        <v>0</v>
      </c>
      <c r="E13" s="761" t="str">
        <f>Sismik!H108</f>
        <v/>
      </c>
      <c r="F13" s="761" t="str">
        <f>Sismik!H112</f>
        <v/>
      </c>
      <c r="G13" s="762">
        <f>'P dalga Hızı'!F13</f>
        <v>0</v>
      </c>
      <c r="H13" s="1027"/>
      <c r="M13" s="1031" t="s">
        <v>320</v>
      </c>
      <c r="N13" s="1032"/>
      <c r="O13" s="1033" t="s">
        <v>323</v>
      </c>
      <c r="P13" s="1034"/>
      <c r="S13" s="1029"/>
      <c r="T13" s="1030"/>
      <c r="U13" s="1030"/>
      <c r="V13" s="965"/>
      <c r="W13" s="965"/>
    </row>
    <row r="14" spans="2:23" ht="15" customHeight="1" thickBot="1">
      <c r="B14" s="1004" t="s">
        <v>51</v>
      </c>
      <c r="C14" s="712" t="s">
        <v>44</v>
      </c>
      <c r="D14" s="757">
        <f>Sismik!C138</f>
        <v>0</v>
      </c>
      <c r="E14" s="758" t="str">
        <f>Sismik!G133</f>
        <v/>
      </c>
      <c r="F14" s="758" t="str">
        <f>Sismik!G138</f>
        <v/>
      </c>
      <c r="G14" s="762">
        <f>'P dalga Hızı'!F14</f>
        <v>0</v>
      </c>
      <c r="H14" s="1026">
        <f>'P dalga Hızı'!G14</f>
        <v>0</v>
      </c>
      <c r="M14" s="1050" t="s">
        <v>321</v>
      </c>
      <c r="N14" s="1051"/>
      <c r="O14" s="997" t="s">
        <v>324</v>
      </c>
      <c r="P14" s="998"/>
      <c r="S14" s="1029"/>
      <c r="T14" s="1030"/>
      <c r="U14" s="1030"/>
      <c r="V14" s="965"/>
      <c r="W14" s="965"/>
    </row>
    <row r="15" spans="2:23" ht="15" customHeight="1">
      <c r="B15" s="1005"/>
      <c r="C15" s="713" t="s">
        <v>45</v>
      </c>
      <c r="D15" s="760">
        <f>Sismik!D138</f>
        <v>0</v>
      </c>
      <c r="E15" s="761" t="str">
        <f>Sismik!H134</f>
        <v/>
      </c>
      <c r="F15" s="761" t="str">
        <f>Sismik!H138</f>
        <v/>
      </c>
      <c r="G15" s="762">
        <f>'P dalga Hızı'!F15</f>
        <v>0</v>
      </c>
      <c r="H15" s="1027"/>
      <c r="M15" s="61"/>
    </row>
    <row r="17" spans="1:23" ht="15" customHeight="1">
      <c r="E17" s="60" t="s">
        <v>198</v>
      </c>
      <c r="F17" s="166">
        <f>MIN(L4:L9)</f>
        <v>0</v>
      </c>
      <c r="G17" s="166">
        <f>MAX(L4:L9)</f>
        <v>0</v>
      </c>
      <c r="H17" s="177" t="str">
        <f>IF(AND(F17&lt;180,F17&gt;=0.1),"Zayıf Zemin",IF(AND(F17&gt;180,F17&lt;=360),"Sert/Sıkı ",IF(AND(F17&gt;360,F17&lt;=760),"ÇokSıkı Sert Zemin/ Y. Kaya",IF(AND(F17&gt;760,F17&lt;=1500),"Kaya",IF(F17=0,"",IF(F17&gt;1500,"Sert Kaya"))))))</f>
        <v/>
      </c>
      <c r="I17" s="1061" t="str">
        <f t="shared" ref="I17:J17" si="0">IF(AND(G17&lt;180,G17&gt;=0.1),"Zayıf Zemin",IF(AND(G17&gt;180,G17&lt;=360),"Sert/Sıkı ",IF(AND(G17&gt;360,G17&lt;=760),"ÇokSıkı Sert Zemin/ Y. Kaya",IF(AND(G17&gt;760,G17&lt;=1500),"Kaya",IF(G17=0,"",IF(G17&gt;1500,"Sert Kaya"))))))</f>
        <v/>
      </c>
      <c r="J17" s="1062" t="str">
        <f t="shared" si="0"/>
        <v>Sert Kaya</v>
      </c>
      <c r="M17" s="3" t="s">
        <v>133</v>
      </c>
      <c r="S17" s="1063" t="s">
        <v>349</v>
      </c>
      <c r="T17" s="1063"/>
      <c r="U17" s="1063"/>
      <c r="V17" s="1063"/>
      <c r="W17" s="1063"/>
    </row>
    <row r="18" spans="1:23" ht="15.75" thickBot="1">
      <c r="E18" s="60" t="s">
        <v>199</v>
      </c>
      <c r="F18" s="166">
        <f>MIN(K4:K9)</f>
        <v>0</v>
      </c>
      <c r="G18" s="166">
        <f>MAX(K4:K9)</f>
        <v>0</v>
      </c>
      <c r="H18" s="177" t="str">
        <f>IF(AND(F18&lt;180,F18&gt;=0.1),"Zayıf",IF(AND(F18&gt;180,F18&lt;=360),"Sert/Sıkı ",IF(AND(F18&gt;360,F18&lt;=760),"ÇokSıkı Sert Zemin/ Y. Kaya",IF(AND(F18&gt;760,F18&lt;=1500),"Kaya",IF(F18=0,"",IF(F18&gt;1500,"Sert Kaya"))))))</f>
        <v/>
      </c>
      <c r="I18" s="1061" t="str">
        <f>IF(AND(G18&lt;180,G18&gt;=0.1),"Zayıf Zemin",IF(AND(G18&gt;180,G18&lt;=360),"Sert/Sıkı ",IF(AND(G18&gt;360,G18&lt;=760),"ÇokSıkı Sert Zemin/ Y. Kaya",IF(AND(G18&gt;760,G18&lt;=1500),"Kaya",IF(G18=0,"",IF(G18&gt;1500,"Sert Kaya"))))))</f>
        <v/>
      </c>
      <c r="J18" s="1062" t="str">
        <f t="shared" ref="J18" si="1">IF(AND(H18&lt;180,H18&gt;=0.1),"Zayıf",IF(AND(H18&gt;180,H18&lt;=360),"Sert/Sıkı ",IF(AND(H18&gt;360,H18&lt;=760),"ÇokSıkı Sert Zemin/ Y. Kaya",IF(AND(H18&gt;760,H18&lt;=1500),"Kaya",IF(H18=0,"",IF(H18&gt;1500,"Sert Kaya"))))))</f>
        <v>Sert Kaya</v>
      </c>
      <c r="M18" s="3" t="s">
        <v>133</v>
      </c>
      <c r="S18" s="1070" t="s">
        <v>350</v>
      </c>
      <c r="T18" s="1070"/>
      <c r="U18" s="1070"/>
      <c r="V18" s="1070"/>
      <c r="W18" s="1070"/>
    </row>
    <row r="19" spans="1:23">
      <c r="S19" s="137" t="s">
        <v>243</v>
      </c>
      <c r="T19" s="1081" t="s">
        <v>326</v>
      </c>
      <c r="U19" s="1082"/>
      <c r="V19" s="1081" t="s">
        <v>327</v>
      </c>
      <c r="W19" s="1082"/>
    </row>
    <row r="20" spans="1:23">
      <c r="S20" s="141" t="s">
        <v>328</v>
      </c>
      <c r="T20" s="1033" t="s">
        <v>339</v>
      </c>
      <c r="U20" s="1060"/>
      <c r="V20" s="1033" t="s">
        <v>340</v>
      </c>
      <c r="W20" s="1060"/>
    </row>
    <row r="21" spans="1:23">
      <c r="S21" s="141" t="s">
        <v>330</v>
      </c>
      <c r="T21" s="1033" t="s">
        <v>341</v>
      </c>
      <c r="U21" s="1060"/>
      <c r="V21" s="1033" t="s">
        <v>343</v>
      </c>
      <c r="W21" s="1060"/>
    </row>
    <row r="22" spans="1:23" ht="15.75" thickBot="1">
      <c r="C22" s="1035"/>
      <c r="D22" s="1035"/>
      <c r="S22" s="1071" t="s">
        <v>332</v>
      </c>
      <c r="T22" s="1073" t="s">
        <v>344</v>
      </c>
      <c r="U22" s="1074"/>
      <c r="V22" s="1077" t="s">
        <v>345</v>
      </c>
      <c r="W22" s="1078"/>
    </row>
    <row r="23" spans="1:23">
      <c r="A23" s="71"/>
      <c r="B23" s="1036" t="s">
        <v>85</v>
      </c>
      <c r="C23" s="1037"/>
      <c r="D23" s="1037"/>
      <c r="E23" s="1037"/>
      <c r="F23" s="1037"/>
      <c r="G23" s="1037"/>
      <c r="H23" s="1037"/>
      <c r="I23" s="1038"/>
      <c r="S23" s="1072"/>
      <c r="T23" s="1075"/>
      <c r="U23" s="1076"/>
      <c r="V23" s="1079"/>
      <c r="W23" s="1080"/>
    </row>
    <row r="24" spans="1:23" ht="15" customHeight="1">
      <c r="A24" s="1105"/>
      <c r="B24" s="880" t="s">
        <v>84</v>
      </c>
      <c r="C24" s="880" t="s">
        <v>464</v>
      </c>
      <c r="D24" s="880" t="s">
        <v>82</v>
      </c>
      <c r="E24" s="880"/>
      <c r="F24" s="880" t="s">
        <v>83</v>
      </c>
      <c r="G24" s="880"/>
      <c r="H24" s="880" t="s">
        <v>86</v>
      </c>
      <c r="I24" s="880"/>
      <c r="M24" s="1104"/>
      <c r="N24" s="1104"/>
      <c r="O24" s="1104"/>
      <c r="P24" s="1104"/>
      <c r="Q24" s="1104"/>
      <c r="S24" s="141" t="s">
        <v>334</v>
      </c>
      <c r="T24" s="1033" t="s">
        <v>346</v>
      </c>
      <c r="U24" s="1060"/>
      <c r="V24" s="1033" t="s">
        <v>342</v>
      </c>
      <c r="W24" s="1060"/>
    </row>
    <row r="25" spans="1:23">
      <c r="A25" s="1105"/>
      <c r="B25" s="880"/>
      <c r="C25" s="880"/>
      <c r="D25" s="880"/>
      <c r="E25" s="880"/>
      <c r="F25" s="880"/>
      <c r="G25" s="880"/>
      <c r="H25" s="880"/>
      <c r="I25" s="880"/>
      <c r="M25" s="1104"/>
      <c r="N25" s="1104"/>
      <c r="O25" s="1104"/>
      <c r="P25" s="1104"/>
      <c r="Q25" s="1104"/>
      <c r="S25" s="141" t="s">
        <v>562</v>
      </c>
      <c r="T25" s="1033" t="s">
        <v>347</v>
      </c>
      <c r="U25" s="1060"/>
      <c r="V25" s="1033" t="s">
        <v>348</v>
      </c>
      <c r="W25" s="1060"/>
    </row>
    <row r="26" spans="1:23" ht="15" customHeight="1">
      <c r="A26" s="70"/>
      <c r="B26" s="714" t="s">
        <v>221</v>
      </c>
      <c r="C26" s="763">
        <f>Sismik!C25</f>
        <v>0</v>
      </c>
      <c r="D26" s="1043" t="str">
        <f>IF(AND(C26&lt;180,C26&gt;=0.1),"Zayıf Zemin",IF(AND(C26&gt;180,C26&lt;=360),"Sert/Sıkı ",IF(AND(C26&gt;360,C26&lt;=760),"ÇokSıkı Sert Zemin/ Y. Kaya",IF(AND(C26&gt;760,C26&lt;=1500),"Kaya",IF(C26=0,"",IF(C26&gt;1500,"Sert Kaya"))))))</f>
        <v/>
      </c>
      <c r="E26" s="1044"/>
      <c r="F26" s="1043" t="str">
        <f t="shared" ref="F26:F31" si="2">IF(AND(C26&lt;180,C26&gt;=0.1),"Gevşek'ten orta sıkıya kohezyonsuz zemin yada yumuşaktan sert'e kohezyonlu zemin",IF(AND(C26&gt;180,C26&lt;=360),"Sıkı yada orta sıkı kum çakıl veya sert kil ",IF(AND(C26&gt;360,C26&lt;=800),"Çok sıkı kum çakıl  yada çok sert kil",IF(C26=0,"",IF(C26&gt;800,"Kaya yada kaya benzeri formasyon")))))</f>
        <v/>
      </c>
      <c r="G26" s="1044"/>
      <c r="H26" s="1011">
        <f>H4</f>
        <v>0</v>
      </c>
      <c r="I26" s="1046"/>
      <c r="M26" s="268"/>
      <c r="N26" s="269"/>
      <c r="O26" s="269"/>
      <c r="P26" s="1058"/>
      <c r="Q26" s="1059"/>
    </row>
    <row r="27" spans="1:23" ht="15" customHeight="1">
      <c r="A27" s="70"/>
      <c r="B27" s="715" t="s">
        <v>222</v>
      </c>
      <c r="C27" s="764">
        <f>Sismik!C52</f>
        <v>0</v>
      </c>
      <c r="D27" s="1039" t="str">
        <f>IF(AND(C27&lt;180,C27&gt;=0.1),"Zayıf Zemin",IF(AND(C27&gt;180,C27&lt;=360),"Sert/Sıkı ",IF(AND(C27&gt;360,C27&lt;=760),"ÇokSıkı Sert Zemin/ Y. Kaya",IF(AND(C27&gt;760,C27&lt;=1500),"Kaya",IF(C27=0,"",IF(C27&gt;1500,"Sert Kaya"))))))</f>
        <v/>
      </c>
      <c r="E27" s="1040"/>
      <c r="F27" s="1039" t="str">
        <f t="shared" si="2"/>
        <v/>
      </c>
      <c r="G27" s="1040"/>
      <c r="H27" s="1041">
        <f>H6</f>
        <v>0</v>
      </c>
      <c r="I27" s="1042"/>
      <c r="M27" s="268"/>
      <c r="N27" s="269"/>
      <c r="O27" s="269"/>
      <c r="P27" s="1058"/>
      <c r="Q27" s="1059"/>
    </row>
    <row r="28" spans="1:23" ht="15" customHeight="1">
      <c r="A28" s="70"/>
      <c r="B28" s="715" t="s">
        <v>223</v>
      </c>
      <c r="C28" s="764">
        <f>Sismik!C78</f>
        <v>0</v>
      </c>
      <c r="D28" s="1039" t="str">
        <f t="shared" ref="D28:D31" si="3">IF(AND(C28&lt;180,C28&gt;=0.1),"Zayıf Zemin",IF(AND(C28&gt;180,C28&lt;=360),"Sert/Sıkı ",IF(AND(C28&gt;360,C28&lt;=760),"ÇokSıkı Sert Zemin/ Y. Kaya",IF(AND(C28&gt;760,C28&lt;=1500),"Kaya",IF(C28=0,"",IF(C28&gt;1500,"Sert Kaya"))))))</f>
        <v/>
      </c>
      <c r="E28" s="1040"/>
      <c r="F28" s="1039" t="str">
        <f t="shared" si="2"/>
        <v/>
      </c>
      <c r="G28" s="1040"/>
      <c r="H28" s="1041">
        <f>H8</f>
        <v>0</v>
      </c>
      <c r="I28" s="1042"/>
      <c r="M28" s="268"/>
      <c r="N28" s="269"/>
      <c r="O28" s="269"/>
      <c r="P28" s="1058"/>
      <c r="Q28" s="1059"/>
    </row>
    <row r="29" spans="1:23" ht="15" customHeight="1">
      <c r="A29" s="70"/>
      <c r="B29" s="715" t="s">
        <v>224</v>
      </c>
      <c r="C29" s="764">
        <f>Sismik!C104</f>
        <v>0</v>
      </c>
      <c r="D29" s="1039" t="str">
        <f t="shared" si="3"/>
        <v/>
      </c>
      <c r="E29" s="1040"/>
      <c r="F29" s="1039" t="str">
        <f t="shared" si="2"/>
        <v/>
      </c>
      <c r="G29" s="1040"/>
      <c r="H29" s="1041">
        <f>H10</f>
        <v>0</v>
      </c>
      <c r="I29" s="1042"/>
      <c r="M29" s="268"/>
      <c r="N29" s="269"/>
      <c r="O29" s="269"/>
      <c r="P29" s="1058"/>
      <c r="Q29" s="1059"/>
    </row>
    <row r="30" spans="1:23" ht="15" customHeight="1">
      <c r="A30" s="70"/>
      <c r="B30" s="715" t="s">
        <v>225</v>
      </c>
      <c r="C30" s="764">
        <f>Sismik!C130</f>
        <v>0</v>
      </c>
      <c r="D30" s="1039" t="str">
        <f t="shared" si="3"/>
        <v/>
      </c>
      <c r="E30" s="1040"/>
      <c r="F30" s="1039" t="str">
        <f t="shared" si="2"/>
        <v/>
      </c>
      <c r="G30" s="1040"/>
      <c r="H30" s="1041">
        <f>H12</f>
        <v>0</v>
      </c>
      <c r="I30" s="1042"/>
      <c r="M30" s="268"/>
      <c r="N30" s="269"/>
      <c r="O30" s="269"/>
      <c r="P30" s="1058"/>
      <c r="Q30" s="1059"/>
    </row>
    <row r="31" spans="1:23" ht="15" customHeight="1">
      <c r="A31" s="70"/>
      <c r="B31" s="716" t="s">
        <v>226</v>
      </c>
      <c r="C31" s="764">
        <f>Sismik!C156</f>
        <v>0</v>
      </c>
      <c r="D31" s="1045" t="str">
        <f t="shared" si="3"/>
        <v/>
      </c>
      <c r="E31" s="1046"/>
      <c r="F31" s="1045" t="str">
        <f t="shared" si="2"/>
        <v/>
      </c>
      <c r="G31" s="1046"/>
      <c r="H31" s="1041">
        <f>H14</f>
        <v>0</v>
      </c>
      <c r="I31" s="1042"/>
      <c r="M31" s="268"/>
      <c r="N31" s="269"/>
      <c r="O31" s="269"/>
      <c r="P31" s="1058"/>
      <c r="Q31" s="1059"/>
    </row>
    <row r="32" spans="1:23" ht="15.75" thickBot="1"/>
    <row r="33" spans="1:9" ht="15.75" thickBot="1">
      <c r="A33" s="1083" t="s">
        <v>566</v>
      </c>
      <c r="B33" s="1084"/>
    </row>
    <row r="34" spans="1:9" ht="15.75" thickBot="1">
      <c r="A34" s="335" t="s">
        <v>564</v>
      </c>
      <c r="B34" s="334">
        <f>MAX(C26:C31)</f>
        <v>0</v>
      </c>
    </row>
    <row r="35" spans="1:9" ht="15.75" thickBot="1">
      <c r="A35" s="335" t="s">
        <v>565</v>
      </c>
      <c r="B35" s="334" t="str">
        <f>IFERROR(SMALL(C26:C31,COUNTIF(C26:C31,)+1),"")</f>
        <v/>
      </c>
      <c r="F35" s="1089" t="s">
        <v>446</v>
      </c>
      <c r="G35" s="1090"/>
      <c r="H35" s="1090"/>
      <c r="I35" s="1091"/>
    </row>
    <row r="36" spans="1:9" ht="15.75" thickBot="1">
      <c r="F36" s="1098" t="s">
        <v>465</v>
      </c>
      <c r="G36" s="1099"/>
      <c r="H36" s="1098" t="s">
        <v>243</v>
      </c>
      <c r="I36" s="1099"/>
    </row>
    <row r="37" spans="1:9">
      <c r="C37" s="1028"/>
      <c r="D37" s="1028"/>
      <c r="F37" s="1100">
        <f t="shared" ref="F37:F42" si="4">C26</f>
        <v>0</v>
      </c>
      <c r="G37" s="1101"/>
      <c r="H37" s="1102" t="str">
        <f t="shared" ref="H37:H42" si="5">IF(F37&gt;1500,"A",IF(AND(F37&gt;360,F37&lt;=760),"C",IF(AND(F37&gt;760,F37&lt;=1500),"B",IF(AND(F37&gt;180,F37&lt;=360),"D",IF(F37=0,"",IF(F37&lt;180,"E"))))))</f>
        <v/>
      </c>
      <c r="I37" s="1103"/>
    </row>
    <row r="38" spans="1:9">
      <c r="C38" s="157"/>
      <c r="D38" s="157"/>
      <c r="F38" s="1092">
        <f t="shared" si="4"/>
        <v>0</v>
      </c>
      <c r="G38" s="1093"/>
      <c r="H38" s="1094" t="str">
        <f t="shared" si="5"/>
        <v/>
      </c>
      <c r="I38" s="1095"/>
    </row>
    <row r="39" spans="1:9">
      <c r="C39" s="256"/>
      <c r="D39" s="257"/>
      <c r="F39" s="1092">
        <f t="shared" si="4"/>
        <v>0</v>
      </c>
      <c r="G39" s="1093"/>
      <c r="H39" s="1094" t="str">
        <f t="shared" si="5"/>
        <v/>
      </c>
      <c r="I39" s="1095"/>
    </row>
    <row r="40" spans="1:9">
      <c r="C40" s="256"/>
      <c r="D40" s="257"/>
      <c r="F40" s="1092">
        <f t="shared" si="4"/>
        <v>0</v>
      </c>
      <c r="G40" s="1093"/>
      <c r="H40" s="1094" t="str">
        <f t="shared" si="5"/>
        <v/>
      </c>
      <c r="I40" s="1095"/>
    </row>
    <row r="41" spans="1:9">
      <c r="C41" s="256"/>
      <c r="D41" s="257"/>
      <c r="F41" s="1096">
        <f t="shared" si="4"/>
        <v>0</v>
      </c>
      <c r="G41" s="1097"/>
      <c r="H41" s="1094" t="str">
        <f t="shared" si="5"/>
        <v/>
      </c>
      <c r="I41" s="1095"/>
    </row>
    <row r="42" spans="1:9" ht="15.75" thickBot="1">
      <c r="A42" s="71"/>
      <c r="B42" s="71"/>
      <c r="C42" s="256"/>
      <c r="D42" s="257"/>
      <c r="F42" s="1085">
        <f t="shared" si="4"/>
        <v>0</v>
      </c>
      <c r="G42" s="1086"/>
      <c r="H42" s="1087" t="str">
        <f t="shared" si="5"/>
        <v/>
      </c>
      <c r="I42" s="1088"/>
    </row>
    <row r="43" spans="1:9">
      <c r="A43" s="71"/>
      <c r="B43" s="71"/>
    </row>
    <row r="44" spans="1:9">
      <c r="A44" s="989"/>
      <c r="B44" s="989"/>
      <c r="C44" s="271"/>
      <c r="D44" s="239"/>
    </row>
    <row r="292" spans="1:3" hidden="1"/>
    <row r="293" spans="1:3" hidden="1">
      <c r="C293" s="43">
        <f>D5+D7+D9+D11+D13+D15</f>
        <v>0</v>
      </c>
    </row>
    <row r="294" spans="1:3" hidden="1">
      <c r="A294" s="43">
        <f>D5</f>
        <v>0</v>
      </c>
      <c r="C294">
        <f>COUNTIF(A294:A299,"&gt;0")</f>
        <v>0</v>
      </c>
    </row>
    <row r="295" spans="1:3" hidden="1">
      <c r="A295" s="43">
        <f>D7</f>
        <v>0</v>
      </c>
      <c r="C295" s="46" t="e">
        <f>C293/C294</f>
        <v>#DIV/0!</v>
      </c>
    </row>
    <row r="296" spans="1:3" hidden="1">
      <c r="A296" s="43">
        <f>D9</f>
        <v>0</v>
      </c>
    </row>
    <row r="297" spans="1:3" hidden="1">
      <c r="A297" s="43">
        <f>D11</f>
        <v>0</v>
      </c>
    </row>
    <row r="298" spans="1:3" hidden="1">
      <c r="A298" s="43">
        <f>D13</f>
        <v>0</v>
      </c>
    </row>
    <row r="299" spans="1:3" hidden="1">
      <c r="A299" s="43">
        <f>D15</f>
        <v>0</v>
      </c>
    </row>
    <row r="300" spans="1:3" hidden="1"/>
    <row r="304" spans="1:3">
      <c r="A304" t="s">
        <v>328</v>
      </c>
      <c r="B304">
        <f>COUNTIF(F4:F15,"ZA")</f>
        <v>0</v>
      </c>
    </row>
    <row r="305" spans="1:2">
      <c r="A305" t="s">
        <v>330</v>
      </c>
      <c r="B305">
        <f>COUNTIF(F4:F15,"ZB")</f>
        <v>0</v>
      </c>
    </row>
    <row r="306" spans="1:2">
      <c r="A306" t="s">
        <v>332</v>
      </c>
      <c r="B306">
        <f>COUNTIF(F4:F15,"ZC")</f>
        <v>0</v>
      </c>
    </row>
    <row r="307" spans="1:2">
      <c r="A307" t="s">
        <v>334</v>
      </c>
      <c r="B307">
        <f>COUNTIF(F4:F15,"ZD")</f>
        <v>0</v>
      </c>
    </row>
    <row r="308" spans="1:2">
      <c r="A308" t="s">
        <v>562</v>
      </c>
      <c r="B308">
        <f>COUNTIF(F4:F15,"ZE")</f>
        <v>0</v>
      </c>
    </row>
  </sheetData>
  <sheetProtection algorithmName="SHA-512" hashValue="YNjX8Uauqjpo6phQuHmzXYJ3JawQP/wQeBedOdh6XYmtgln3IJbGNk0PcsHSAv5n1S0mUinIgCFBneCuR3reJg==" saltValue="QmaWD86SbQykxWTdAu3oxQ==" spinCount="100000" sheet="1" objects="1" scenarios="1"/>
  <mergeCells count="119">
    <mergeCell ref="A33:B33"/>
    <mergeCell ref="V21:W21"/>
    <mergeCell ref="F42:G42"/>
    <mergeCell ref="H42:I42"/>
    <mergeCell ref="F35:I35"/>
    <mergeCell ref="F39:G39"/>
    <mergeCell ref="H39:I39"/>
    <mergeCell ref="F40:G40"/>
    <mergeCell ref="H40:I40"/>
    <mergeCell ref="F41:G41"/>
    <mergeCell ref="H41:I41"/>
    <mergeCell ref="F36:G36"/>
    <mergeCell ref="H36:I36"/>
    <mergeCell ref="F37:G37"/>
    <mergeCell ref="H37:I37"/>
    <mergeCell ref="F38:G38"/>
    <mergeCell ref="H38:I38"/>
    <mergeCell ref="M24:M25"/>
    <mergeCell ref="N24:N25"/>
    <mergeCell ref="O24:O25"/>
    <mergeCell ref="P24:Q25"/>
    <mergeCell ref="H29:I29"/>
    <mergeCell ref="A24:A25"/>
    <mergeCell ref="D24:E25"/>
    <mergeCell ref="V25:W25"/>
    <mergeCell ref="S18:W18"/>
    <mergeCell ref="S22:S23"/>
    <mergeCell ref="T22:U23"/>
    <mergeCell ref="V22:W23"/>
    <mergeCell ref="T24:U24"/>
    <mergeCell ref="V24:W24"/>
    <mergeCell ref="T19:U19"/>
    <mergeCell ref="V19:W19"/>
    <mergeCell ref="T20:U20"/>
    <mergeCell ref="V20:W20"/>
    <mergeCell ref="T21:U21"/>
    <mergeCell ref="H4:H5"/>
    <mergeCell ref="H6:H7"/>
    <mergeCell ref="P31:Q31"/>
    <mergeCell ref="P26:Q26"/>
    <mergeCell ref="P27:Q27"/>
    <mergeCell ref="P28:Q28"/>
    <mergeCell ref="P29:Q29"/>
    <mergeCell ref="P30:Q30"/>
    <mergeCell ref="T25:U25"/>
    <mergeCell ref="I17:J17"/>
    <mergeCell ref="I18:J18"/>
    <mergeCell ref="S17:W17"/>
    <mergeCell ref="V4:W4"/>
    <mergeCell ref="M8:N8"/>
    <mergeCell ref="O5:P5"/>
    <mergeCell ref="O6:P6"/>
    <mergeCell ref="O7:P7"/>
    <mergeCell ref="O8:P8"/>
    <mergeCell ref="M4:N4"/>
    <mergeCell ref="O4:P4"/>
    <mergeCell ref="T11:U14"/>
    <mergeCell ref="O12:P12"/>
    <mergeCell ref="T5:U6"/>
    <mergeCell ref="H8:H9"/>
    <mergeCell ref="C1:H2"/>
    <mergeCell ref="B14:B15"/>
    <mergeCell ref="B4:B5"/>
    <mergeCell ref="B6:B7"/>
    <mergeCell ref="B8:B9"/>
    <mergeCell ref="B10:B11"/>
    <mergeCell ref="B12:B13"/>
    <mergeCell ref="J3:Q3"/>
    <mergeCell ref="V5:W6"/>
    <mergeCell ref="S7:S8"/>
    <mergeCell ref="T7:U8"/>
    <mergeCell ref="V7:W8"/>
    <mergeCell ref="S3:W3"/>
    <mergeCell ref="S5:S6"/>
    <mergeCell ref="M5:N5"/>
    <mergeCell ref="M6:N6"/>
    <mergeCell ref="M7:N7"/>
    <mergeCell ref="M14:N14"/>
    <mergeCell ref="O14:P14"/>
    <mergeCell ref="M12:N12"/>
    <mergeCell ref="T4:U4"/>
    <mergeCell ref="J10:Q10"/>
    <mergeCell ref="M11:N11"/>
    <mergeCell ref="O11:P11"/>
    <mergeCell ref="H28:I28"/>
    <mergeCell ref="D29:E29"/>
    <mergeCell ref="F29:G29"/>
    <mergeCell ref="F24:G25"/>
    <mergeCell ref="H24:I25"/>
    <mergeCell ref="C24:C25"/>
    <mergeCell ref="B24:B25"/>
    <mergeCell ref="H26:I26"/>
    <mergeCell ref="D27:E27"/>
    <mergeCell ref="F27:G27"/>
    <mergeCell ref="H27:I27"/>
    <mergeCell ref="H10:H11"/>
    <mergeCell ref="H12:H13"/>
    <mergeCell ref="H14:H15"/>
    <mergeCell ref="C37:D37"/>
    <mergeCell ref="A44:B44"/>
    <mergeCell ref="S9:S10"/>
    <mergeCell ref="T9:U10"/>
    <mergeCell ref="V9:W10"/>
    <mergeCell ref="S11:S14"/>
    <mergeCell ref="M13:N13"/>
    <mergeCell ref="O13:P13"/>
    <mergeCell ref="V11:W14"/>
    <mergeCell ref="C22:D22"/>
    <mergeCell ref="B23:I23"/>
    <mergeCell ref="D30:E30"/>
    <mergeCell ref="F30:G30"/>
    <mergeCell ref="H30:I30"/>
    <mergeCell ref="D26:E26"/>
    <mergeCell ref="F26:G26"/>
    <mergeCell ref="D31:E31"/>
    <mergeCell ref="F31:G31"/>
    <mergeCell ref="H31:I31"/>
    <mergeCell ref="D28:E28"/>
    <mergeCell ref="F28:G28"/>
  </mergeCells>
  <conditionalFormatting sqref="B4:H4 B5:G5 B6:H6 B7:G7 B8:H8 B9:G9 B10:H10 B11:G11 B12:H12 B13:G13 B14:H14 B15:G15">
    <cfRule type="containsErrors" dxfId="293" priority="9">
      <formula>ISERROR(B4)</formula>
    </cfRule>
  </conditionalFormatting>
  <conditionalFormatting sqref="B26:I31">
    <cfRule type="containsErrors" dxfId="292" priority="7">
      <formula>ISERROR(B26)</formula>
    </cfRule>
  </conditionalFormatting>
  <conditionalFormatting sqref="D44">
    <cfRule type="expression" dxfId="291" priority="2">
      <formula>$C$44=0</formula>
    </cfRule>
    <cfRule type="containsErrors" dxfId="290" priority="5">
      <formula>ISERROR(D44)</formula>
    </cfRule>
  </conditionalFormatting>
  <conditionalFormatting sqref="F37:I42">
    <cfRule type="containsErrors" dxfId="289" priority="1">
      <formula>ISERROR(F37)</formula>
    </cfRule>
  </conditionalFormatting>
  <conditionalFormatting sqref="F17:J18">
    <cfRule type="containsErrors" dxfId="288" priority="8">
      <formula>ISERROR(F17)</formula>
    </cfRule>
  </conditionalFormatting>
  <conditionalFormatting sqref="M26:Q31">
    <cfRule type="containsErrors" dxfId="287" priority="6">
      <formula>ISERROR(M26)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13"/>
  <dimension ref="A1:BB314"/>
  <sheetViews>
    <sheetView showGridLines="0" showRowColHeaders="0" workbookViewId="0">
      <selection activeCell="J50" sqref="J50"/>
    </sheetView>
  </sheetViews>
  <sheetFormatPr defaultRowHeight="15"/>
  <sheetData>
    <row r="1" spans="1:54">
      <c r="B1" s="3"/>
      <c r="C1" s="3"/>
      <c r="D1" s="3"/>
      <c r="E1" s="3"/>
      <c r="F1" s="3"/>
      <c r="G1" s="3"/>
      <c r="H1" s="3"/>
      <c r="I1" s="3"/>
      <c r="J1" s="3"/>
      <c r="L1" s="3"/>
      <c r="M1" s="3"/>
      <c r="N1" s="3"/>
      <c r="O1" s="3"/>
      <c r="P1" s="3"/>
      <c r="Q1" s="3"/>
      <c r="R1" s="3"/>
      <c r="S1" s="3"/>
      <c r="T1" s="3"/>
      <c r="U1" s="3"/>
      <c r="V1" s="3"/>
    </row>
    <row r="2" spans="1:54" ht="16.5" thickBot="1">
      <c r="B2" s="554"/>
      <c r="C2" s="554"/>
      <c r="D2" s="67" t="s">
        <v>468</v>
      </c>
      <c r="E2" s="67"/>
      <c r="F2" s="67"/>
      <c r="G2" s="67"/>
      <c r="H2" s="67"/>
      <c r="I2" s="67"/>
      <c r="J2" s="67"/>
      <c r="L2" s="552"/>
      <c r="M2" s="1186" t="s">
        <v>467</v>
      </c>
      <c r="N2" s="1186"/>
      <c r="O2" s="1186"/>
      <c r="P2" s="1186"/>
      <c r="Q2" s="1186"/>
      <c r="R2" s="1186"/>
      <c r="S2" s="1186"/>
      <c r="T2" s="1186"/>
      <c r="U2" s="3"/>
      <c r="V2" s="3"/>
      <c r="AL2" s="542"/>
      <c r="AM2" s="542"/>
      <c r="AN2" s="542"/>
      <c r="AO2" s="542"/>
      <c r="AP2" s="542"/>
      <c r="AQ2" s="542"/>
      <c r="AR2" s="542"/>
      <c r="AS2" s="542"/>
      <c r="AT2" s="542"/>
      <c r="AU2" s="542"/>
      <c r="AV2" s="542"/>
      <c r="AW2" s="542"/>
      <c r="AX2" s="542"/>
      <c r="AY2" s="542"/>
      <c r="AZ2" s="542"/>
      <c r="BA2" s="542"/>
      <c r="BB2" s="542"/>
    </row>
    <row r="3" spans="1:54" ht="15.75" customHeight="1" thickBot="1">
      <c r="A3" s="553" t="s">
        <v>84</v>
      </c>
      <c r="B3" s="880" t="s">
        <v>458</v>
      </c>
      <c r="C3" s="880"/>
      <c r="D3" s="880" t="s">
        <v>82</v>
      </c>
      <c r="E3" s="880"/>
      <c r="F3" s="880" t="s">
        <v>83</v>
      </c>
      <c r="G3" s="880"/>
      <c r="H3" s="880"/>
      <c r="I3" s="880" t="s">
        <v>86</v>
      </c>
      <c r="J3" s="880"/>
      <c r="L3" s="553" t="s">
        <v>84</v>
      </c>
      <c r="M3" s="880" t="s">
        <v>459</v>
      </c>
      <c r="N3" s="880"/>
      <c r="O3" s="880" t="s">
        <v>197</v>
      </c>
      <c r="P3" s="880"/>
      <c r="Q3" s="880" t="s">
        <v>196</v>
      </c>
      <c r="R3" s="880"/>
      <c r="S3" s="880" t="s">
        <v>208</v>
      </c>
      <c r="T3" s="880"/>
      <c r="U3" s="3"/>
      <c r="V3" s="144"/>
      <c r="W3" s="1028" t="s">
        <v>372</v>
      </c>
      <c r="X3" s="1028"/>
      <c r="Y3" s="1028"/>
      <c r="Z3" s="1028"/>
      <c r="AA3" s="1028"/>
      <c r="AB3" s="1028"/>
      <c r="AC3" s="1028"/>
      <c r="AD3" s="144"/>
      <c r="AE3" s="145" t="s">
        <v>325</v>
      </c>
      <c r="AF3" s="145"/>
      <c r="AG3" s="145"/>
      <c r="AH3" s="145"/>
      <c r="AI3" s="145"/>
      <c r="AJ3" s="145"/>
      <c r="AK3" s="145"/>
      <c r="AL3" s="543"/>
      <c r="AM3" s="337"/>
      <c r="AN3" s="338"/>
      <c r="AO3" s="338"/>
      <c r="AP3" s="338"/>
      <c r="AQ3" s="338"/>
      <c r="AR3" s="338"/>
      <c r="AS3" s="338"/>
      <c r="AT3" s="338"/>
      <c r="AU3" s="338"/>
      <c r="AV3" s="338"/>
      <c r="AW3" s="338"/>
      <c r="AX3" s="338"/>
      <c r="AY3" s="338"/>
      <c r="AZ3" s="338"/>
      <c r="BA3" s="204"/>
      <c r="BB3" s="544"/>
    </row>
    <row r="4" spans="1:54" ht="16.5" thickBot="1">
      <c r="A4" s="553"/>
      <c r="B4" s="880"/>
      <c r="C4" s="880"/>
      <c r="D4" s="880"/>
      <c r="E4" s="880"/>
      <c r="F4" s="880"/>
      <c r="G4" s="880"/>
      <c r="H4" s="880"/>
      <c r="I4" s="880"/>
      <c r="J4" s="880"/>
      <c r="L4" s="553"/>
      <c r="M4" s="880"/>
      <c r="N4" s="880"/>
      <c r="O4" s="880"/>
      <c r="P4" s="880"/>
      <c r="Q4" s="880"/>
      <c r="R4" s="880"/>
      <c r="S4" s="880"/>
      <c r="T4" s="880"/>
      <c r="U4" s="3"/>
      <c r="W4" s="3"/>
      <c r="X4" s="69"/>
      <c r="Y4" s="1098" t="s">
        <v>371</v>
      </c>
      <c r="Z4" s="1099"/>
      <c r="AA4" s="1098" t="s">
        <v>310</v>
      </c>
      <c r="AB4" s="1099"/>
      <c r="AC4" s="3"/>
      <c r="AE4" s="3"/>
      <c r="AF4" s="3"/>
      <c r="AG4" s="1207" t="s">
        <v>318</v>
      </c>
      <c r="AH4" s="1208"/>
      <c r="AI4" s="1209" t="s">
        <v>170</v>
      </c>
      <c r="AJ4" s="1210"/>
      <c r="AK4" s="3"/>
      <c r="AL4" s="543"/>
      <c r="AM4" s="50"/>
      <c r="AN4" s="1106" t="s">
        <v>696</v>
      </c>
      <c r="AO4" s="1107"/>
      <c r="AP4" s="1107"/>
      <c r="AQ4" s="1107"/>
      <c r="AR4" s="1107"/>
      <c r="AS4" s="1107"/>
      <c r="AT4" s="1107"/>
      <c r="AU4" s="1107"/>
      <c r="AV4" s="1107"/>
      <c r="AW4" s="1107"/>
      <c r="AX4" s="3"/>
      <c r="AY4" s="530" t="s">
        <v>697</v>
      </c>
      <c r="AZ4" s="422">
        <v>0.4</v>
      </c>
      <c r="BA4" s="205"/>
      <c r="BB4" s="544"/>
    </row>
    <row r="5" spans="1:54" ht="15" customHeight="1" thickBot="1">
      <c r="A5" s="717" t="s">
        <v>221</v>
      </c>
      <c r="B5" s="972">
        <f t="shared" ref="B5:B10" si="0">C19</f>
        <v>0</v>
      </c>
      <c r="C5" s="973"/>
      <c r="D5" s="1264" t="str">
        <f t="shared" ref="D5:D10" si="1">D19</f>
        <v/>
      </c>
      <c r="E5" s="1265"/>
      <c r="F5" s="1261" t="str">
        <f>F19</f>
        <v/>
      </c>
      <c r="G5" s="1262"/>
      <c r="H5" s="1263"/>
      <c r="I5" s="1022">
        <f>Sismik!AB7</f>
        <v>0</v>
      </c>
      <c r="J5" s="1044"/>
      <c r="L5" s="717" t="s">
        <v>221</v>
      </c>
      <c r="M5" s="1187">
        <f t="shared" ref="M5:M10" si="2">C19</f>
        <v>0</v>
      </c>
      <c r="N5" s="1188"/>
      <c r="O5" s="1189" t="str">
        <f t="shared" ref="O5:O10" si="3">IF(ISERROR(68*M5^(-0.6)),"",68*M5^(-0.6))</f>
        <v/>
      </c>
      <c r="P5" s="1190"/>
      <c r="Q5" s="1191" t="str">
        <f t="shared" ref="Q5:Q10" si="4">IF(ISERROR(23*M5^(-0.45)),"",23*M5^(-0.45))</f>
        <v/>
      </c>
      <c r="R5" s="1192"/>
      <c r="S5" s="1191" t="str">
        <f>IF(ISERROR(1.67*(LOG(6750/(Sismik!C25*Sismik!D9)))),"",1.67*(LOG(6750/(Sismik!C25*Sismik!D9))))</f>
        <v/>
      </c>
      <c r="T5" s="1192"/>
      <c r="U5" s="3"/>
      <c r="W5" s="3"/>
      <c r="X5" s="69"/>
      <c r="Y5" s="1211" t="s">
        <v>260</v>
      </c>
      <c r="Z5" s="1212"/>
      <c r="AA5" s="1213" t="s">
        <v>314</v>
      </c>
      <c r="AB5" s="1214"/>
      <c r="AC5" s="3"/>
      <c r="AE5" s="3"/>
      <c r="AF5" s="3"/>
      <c r="AG5" s="1211" t="s">
        <v>319</v>
      </c>
      <c r="AH5" s="1212"/>
      <c r="AI5" s="1213" t="s">
        <v>322</v>
      </c>
      <c r="AJ5" s="1214"/>
      <c r="AK5" s="3"/>
      <c r="AL5" s="543"/>
      <c r="AM5" s="50"/>
      <c r="AN5" s="3"/>
      <c r="AO5" s="3"/>
      <c r="AP5" s="3"/>
      <c r="AQ5" s="3"/>
      <c r="AR5" s="3"/>
      <c r="AS5" s="3"/>
      <c r="AT5" s="3"/>
      <c r="AU5" s="3"/>
      <c r="AV5" s="3"/>
      <c r="AW5" s="3"/>
      <c r="AX5" s="3"/>
      <c r="AY5" s="531" t="s">
        <v>698</v>
      </c>
      <c r="AZ5" s="422">
        <v>0.9889</v>
      </c>
      <c r="BA5" s="205"/>
      <c r="BB5" s="544"/>
    </row>
    <row r="6" spans="1:54" ht="16.5" thickBot="1">
      <c r="A6" s="718" t="s">
        <v>222</v>
      </c>
      <c r="B6" s="985">
        <f t="shared" si="0"/>
        <v>0</v>
      </c>
      <c r="C6" s="986"/>
      <c r="D6" s="1183" t="str">
        <f t="shared" si="1"/>
        <v/>
      </c>
      <c r="E6" s="1185"/>
      <c r="F6" s="1183" t="str">
        <f t="shared" ref="F6:F10" si="5">F20</f>
        <v/>
      </c>
      <c r="G6" s="1184"/>
      <c r="H6" s="1185"/>
      <c r="I6" s="1041">
        <f>Sismik!AB9</f>
        <v>0</v>
      </c>
      <c r="J6" s="1040"/>
      <c r="L6" s="718" t="s">
        <v>222</v>
      </c>
      <c r="M6" s="1124">
        <f t="shared" si="2"/>
        <v>0</v>
      </c>
      <c r="N6" s="1124"/>
      <c r="O6" s="1125" t="str">
        <f t="shared" si="3"/>
        <v/>
      </c>
      <c r="P6" s="1125"/>
      <c r="Q6" s="1126" t="str">
        <f t="shared" si="4"/>
        <v/>
      </c>
      <c r="R6" s="1126"/>
      <c r="S6" s="1178" t="str">
        <f>IF(ISERROR(1.67*(LOG(6750/(Sismik!C52*Sismik!D36)))),"",1.67*(LOG(6750/(Sismik!C52*Sismik!D36))))</f>
        <v/>
      </c>
      <c r="T6" s="1179"/>
      <c r="U6" s="3"/>
      <c r="W6" s="3"/>
      <c r="X6" s="3"/>
      <c r="Y6" s="1215" t="s">
        <v>311</v>
      </c>
      <c r="Z6" s="1206"/>
      <c r="AA6" s="863" t="s">
        <v>172</v>
      </c>
      <c r="AB6" s="1141"/>
      <c r="AC6" s="3"/>
      <c r="AE6" s="3"/>
      <c r="AF6" s="3"/>
      <c r="AG6" s="1215" t="s">
        <v>320</v>
      </c>
      <c r="AH6" s="1206"/>
      <c r="AI6" s="863" t="s">
        <v>323</v>
      </c>
      <c r="AJ6" s="1141"/>
      <c r="AK6" s="3"/>
      <c r="AL6" s="543"/>
      <c r="AM6" s="50"/>
      <c r="AN6" s="518" t="s">
        <v>699</v>
      </c>
      <c r="AO6" s="3"/>
      <c r="AP6" s="3"/>
      <c r="AQ6" s="3"/>
      <c r="AR6" s="3"/>
      <c r="AS6" s="3"/>
      <c r="AT6" s="3"/>
      <c r="AU6" s="3"/>
      <c r="AV6" s="3"/>
      <c r="AW6" s="3"/>
      <c r="AX6" s="3"/>
      <c r="AY6" s="531" t="s">
        <v>700</v>
      </c>
      <c r="AZ6" s="533">
        <v>0.74</v>
      </c>
      <c r="BA6" s="205"/>
      <c r="BB6" s="544"/>
    </row>
    <row r="7" spans="1:54" ht="16.5" customHeight="1" thickBot="1">
      <c r="A7" s="718" t="s">
        <v>223</v>
      </c>
      <c r="B7" s="985">
        <f t="shared" si="0"/>
        <v>0</v>
      </c>
      <c r="C7" s="986"/>
      <c r="D7" s="1183" t="str">
        <f t="shared" si="1"/>
        <v/>
      </c>
      <c r="E7" s="1185"/>
      <c r="F7" s="1183" t="str">
        <f t="shared" si="5"/>
        <v/>
      </c>
      <c r="G7" s="1184"/>
      <c r="H7" s="1185"/>
      <c r="I7" s="1041">
        <f>Sismik!AB11</f>
        <v>0</v>
      </c>
      <c r="J7" s="1040"/>
      <c r="L7" s="718" t="s">
        <v>223</v>
      </c>
      <c r="M7" s="1124">
        <f t="shared" si="2"/>
        <v>0</v>
      </c>
      <c r="N7" s="1124"/>
      <c r="O7" s="1127" t="str">
        <f t="shared" si="3"/>
        <v/>
      </c>
      <c r="P7" s="1128"/>
      <c r="Q7" s="1126" t="str">
        <f t="shared" si="4"/>
        <v/>
      </c>
      <c r="R7" s="1126"/>
      <c r="S7" s="1178" t="str">
        <f>IF(ISERROR(1.67*(LOG(6750/(Sismik!C78*Sismik!D62)))),"",1.67*(LOG(6750/(Sismik!C78*Sismik!D62))))</f>
        <v/>
      </c>
      <c r="T7" s="1179"/>
      <c r="U7" s="3"/>
      <c r="W7" s="3"/>
      <c r="X7" s="3"/>
      <c r="Y7" s="1215" t="s">
        <v>312</v>
      </c>
      <c r="Z7" s="1206"/>
      <c r="AA7" s="863" t="s">
        <v>315</v>
      </c>
      <c r="AB7" s="1141"/>
      <c r="AC7" s="3"/>
      <c r="AE7" s="3"/>
      <c r="AF7" s="3"/>
      <c r="AG7" s="1216" t="s">
        <v>321</v>
      </c>
      <c r="AH7" s="1217"/>
      <c r="AI7" s="1218" t="s">
        <v>324</v>
      </c>
      <c r="AJ7" s="1219"/>
      <c r="AK7" s="3"/>
      <c r="AL7" s="543"/>
      <c r="AM7" s="50"/>
      <c r="AN7" s="518" t="s">
        <v>701</v>
      </c>
      <c r="AO7" s="3"/>
      <c r="AP7" s="3"/>
      <c r="AQ7" s="3"/>
      <c r="AR7" s="3"/>
      <c r="AS7" s="3"/>
      <c r="AT7" s="3"/>
      <c r="AU7" s="3"/>
      <c r="AV7" s="3"/>
      <c r="AW7" s="3"/>
      <c r="AX7" s="3"/>
      <c r="AY7" s="521" t="s">
        <v>715</v>
      </c>
      <c r="AZ7" s="533">
        <v>372</v>
      </c>
      <c r="BA7" s="205"/>
      <c r="BB7" s="544"/>
    </row>
    <row r="8" spans="1:54" ht="16.5" customHeight="1" thickBot="1">
      <c r="A8" s="718" t="s">
        <v>224</v>
      </c>
      <c r="B8" s="985">
        <f t="shared" si="0"/>
        <v>0</v>
      </c>
      <c r="C8" s="986"/>
      <c r="D8" s="1183" t="str">
        <f t="shared" si="1"/>
        <v/>
      </c>
      <c r="E8" s="1185"/>
      <c r="F8" s="1183" t="str">
        <f t="shared" si="5"/>
        <v/>
      </c>
      <c r="G8" s="1184"/>
      <c r="H8" s="1185"/>
      <c r="I8" s="1041">
        <f>Sismik!AB13</f>
        <v>0</v>
      </c>
      <c r="J8" s="1040"/>
      <c r="L8" s="718" t="s">
        <v>224</v>
      </c>
      <c r="M8" s="1124">
        <f t="shared" si="2"/>
        <v>0</v>
      </c>
      <c r="N8" s="1124"/>
      <c r="O8" s="1125" t="str">
        <f t="shared" si="3"/>
        <v/>
      </c>
      <c r="P8" s="1125"/>
      <c r="Q8" s="1126" t="str">
        <f t="shared" si="4"/>
        <v/>
      </c>
      <c r="R8" s="1126"/>
      <c r="S8" s="1126" t="str">
        <f>IF(ISERROR(1.67*(LOG(6750/(Sismik!C104*Sismik!D88)))),"",1.67*(LOG(6750/(Sismik!C104*Sismik!D88))))</f>
        <v/>
      </c>
      <c r="T8" s="1126"/>
      <c r="U8" s="3"/>
      <c r="W8" s="3"/>
      <c r="X8" s="3"/>
      <c r="Y8" s="1216" t="s">
        <v>313</v>
      </c>
      <c r="Z8" s="1217"/>
      <c r="AA8" s="1218" t="s">
        <v>316</v>
      </c>
      <c r="AB8" s="1219"/>
      <c r="AC8" s="3"/>
      <c r="AE8" s="3"/>
      <c r="AF8" s="3"/>
      <c r="AG8" s="3"/>
      <c r="AH8" s="3"/>
      <c r="AI8" s="3"/>
      <c r="AJ8" s="3"/>
      <c r="AK8" s="3"/>
      <c r="AL8" s="543"/>
      <c r="AM8" s="50"/>
      <c r="AN8" s="518" t="s">
        <v>702</v>
      </c>
      <c r="AO8" s="3"/>
      <c r="AP8" s="3"/>
      <c r="AQ8" s="3"/>
      <c r="AR8" s="3"/>
      <c r="AS8" s="3"/>
      <c r="AT8" s="3"/>
      <c r="AU8" s="3"/>
      <c r="AV8" s="3"/>
      <c r="AW8" s="3"/>
      <c r="AX8" s="3"/>
      <c r="AY8" s="3"/>
      <c r="AZ8" s="3"/>
      <c r="BA8" s="205"/>
      <c r="BB8" s="544"/>
    </row>
    <row r="9" spans="1:54" ht="16.5" thickBot="1">
      <c r="A9" s="718" t="s">
        <v>225</v>
      </c>
      <c r="B9" s="985">
        <f t="shared" si="0"/>
        <v>0</v>
      </c>
      <c r="C9" s="986"/>
      <c r="D9" s="1183" t="str">
        <f t="shared" si="1"/>
        <v/>
      </c>
      <c r="E9" s="1185"/>
      <c r="F9" s="1183" t="str">
        <f t="shared" si="5"/>
        <v/>
      </c>
      <c r="G9" s="1184"/>
      <c r="H9" s="1185"/>
      <c r="I9" s="1041">
        <f>Sismik!AB15</f>
        <v>0</v>
      </c>
      <c r="J9" s="1040"/>
      <c r="L9" s="718" t="s">
        <v>225</v>
      </c>
      <c r="M9" s="1124">
        <f t="shared" si="2"/>
        <v>0</v>
      </c>
      <c r="N9" s="1124"/>
      <c r="O9" s="1127" t="str">
        <f t="shared" si="3"/>
        <v/>
      </c>
      <c r="P9" s="1128"/>
      <c r="Q9" s="1126" t="str">
        <f t="shared" si="4"/>
        <v/>
      </c>
      <c r="R9" s="1126"/>
      <c r="S9" s="1126" t="str">
        <f>IF(ISERROR(1.67*(LOG(6750/(Sismik!C130*Sismik!D114)))),"",1.67*(LOG(6750/(Sismik!C130*Sismik!D114))))</f>
        <v/>
      </c>
      <c r="T9" s="1126"/>
      <c r="U9" s="3"/>
      <c r="W9" s="3"/>
      <c r="X9" s="3"/>
      <c r="Y9" s="61"/>
      <c r="Z9" s="3"/>
      <c r="AA9" s="3"/>
      <c r="AB9" s="3"/>
      <c r="AC9" s="3"/>
      <c r="AE9" s="3"/>
      <c r="AF9" s="3"/>
      <c r="AG9" s="1098" t="s">
        <v>371</v>
      </c>
      <c r="AH9" s="1099"/>
      <c r="AI9" s="1098" t="s">
        <v>310</v>
      </c>
      <c r="AJ9" s="1099"/>
      <c r="AK9" s="3"/>
      <c r="AL9" s="543"/>
      <c r="AM9" s="50"/>
      <c r="AN9" s="518"/>
      <c r="AO9" s="3"/>
      <c r="AP9" s="3"/>
      <c r="AQ9" s="3"/>
      <c r="AR9" s="3"/>
      <c r="AS9" s="3"/>
      <c r="AT9" s="3"/>
      <c r="AU9" s="3"/>
      <c r="AV9" s="3"/>
      <c r="AW9" s="3"/>
      <c r="AX9" s="3"/>
      <c r="AY9" s="3"/>
      <c r="AZ9" s="3"/>
      <c r="BA9" s="205"/>
      <c r="BB9" s="544"/>
    </row>
    <row r="10" spans="1:54" ht="16.5" thickBot="1">
      <c r="A10" s="719" t="s">
        <v>226</v>
      </c>
      <c r="B10" s="985">
        <f t="shared" si="0"/>
        <v>0</v>
      </c>
      <c r="C10" s="986"/>
      <c r="D10" s="1183" t="str">
        <f t="shared" si="1"/>
        <v/>
      </c>
      <c r="E10" s="1185"/>
      <c r="F10" s="1183" t="str">
        <f t="shared" si="5"/>
        <v/>
      </c>
      <c r="G10" s="1184"/>
      <c r="H10" s="1185"/>
      <c r="I10" s="1041">
        <f>Sismik!AB17</f>
        <v>0</v>
      </c>
      <c r="J10" s="1040"/>
      <c r="L10" s="719" t="s">
        <v>226</v>
      </c>
      <c r="M10" s="1175">
        <f t="shared" si="2"/>
        <v>0</v>
      </c>
      <c r="N10" s="1176"/>
      <c r="O10" s="1177" t="str">
        <f t="shared" si="3"/>
        <v/>
      </c>
      <c r="P10" s="1177"/>
      <c r="Q10" s="1180" t="str">
        <f t="shared" si="4"/>
        <v/>
      </c>
      <c r="R10" s="1181"/>
      <c r="S10" s="1126" t="str">
        <f>IF(ISERROR(1.67*(LOG(6750/(Sismik!C156*Sismik!D140)))),"",1.67*(LOG(6750/(Sismik!C156*Sismik!D140))))</f>
        <v/>
      </c>
      <c r="T10" s="1126"/>
      <c r="U10" s="3"/>
      <c r="V10" s="3"/>
      <c r="W10" s="3"/>
      <c r="X10" s="3"/>
      <c r="Y10" s="1098" t="s">
        <v>463</v>
      </c>
      <c r="Z10" s="1099"/>
      <c r="AA10" s="1098" t="s">
        <v>310</v>
      </c>
      <c r="AB10" s="1099"/>
      <c r="AC10" s="3"/>
      <c r="AE10" s="3"/>
      <c r="AF10" s="3"/>
      <c r="AG10" s="1222">
        <f t="shared" ref="AG10:AG15" si="6">Y11</f>
        <v>0</v>
      </c>
      <c r="AH10" s="1223"/>
      <c r="AI10" s="1224" t="str">
        <f t="shared" ref="AI10:AI15" si="7">IF(AG10&gt;500,"Sert",IF(AND(AG10&gt;300,AG10&lt;=500),"Çok Katı",IF(AND(AG10&gt;200,AG10&lt;=300),"Katı",IF(K18=0,"",IF(AG10&lt;200,"Yumuşak - Orta Katı")))))</f>
        <v/>
      </c>
      <c r="AJ10" s="1225"/>
      <c r="AK10" s="3"/>
      <c r="AL10" s="543"/>
      <c r="AM10" s="50"/>
      <c r="AN10" s="518" t="s">
        <v>703</v>
      </c>
      <c r="AO10" s="3"/>
      <c r="AP10" s="3"/>
      <c r="AQ10" s="3"/>
      <c r="AR10" s="3"/>
      <c r="AS10" s="3"/>
      <c r="AT10" s="3"/>
      <c r="AU10" s="3"/>
      <c r="AV10" s="3"/>
      <c r="AW10" s="3"/>
      <c r="AX10" s="3"/>
      <c r="AY10" s="3"/>
      <c r="AZ10" s="3"/>
      <c r="BA10" s="205"/>
      <c r="BB10" s="544"/>
    </row>
    <row r="11" spans="1:54" ht="15.75">
      <c r="A11" s="110"/>
      <c r="C11" s="109"/>
      <c r="D11" s="155"/>
      <c r="E11" s="155"/>
      <c r="F11" s="155"/>
      <c r="L11" s="3"/>
      <c r="M11" s="3"/>
      <c r="N11" s="3"/>
      <c r="O11" s="3"/>
      <c r="P11" s="3"/>
      <c r="Q11" s="3"/>
      <c r="R11" s="3"/>
      <c r="S11" s="3"/>
      <c r="T11" s="3"/>
      <c r="U11" s="3"/>
      <c r="V11" s="3"/>
      <c r="W11" s="3"/>
      <c r="X11" s="3"/>
      <c r="Y11" s="1222">
        <f t="shared" ref="Y11:Y16" si="8">C19</f>
        <v>0</v>
      </c>
      <c r="Z11" s="1223"/>
      <c r="AA11" s="1224" t="str">
        <f t="shared" ref="AA11:AA16" si="9">IF(Y11&gt;500,"Sert",IF(AND(Y11&gt;300,Y11&lt;=500),"Çok Katı",IF(AND(Y11&gt;200,Y11&lt;=300),"Katı",IF(C19=0,"",IF(Y11&lt;200,"Yumuşak - Orta Katı")))))</f>
        <v/>
      </c>
      <c r="AB11" s="1225"/>
      <c r="AC11" s="3"/>
      <c r="AE11" s="3"/>
      <c r="AF11" s="3"/>
      <c r="AG11" s="1205">
        <f t="shared" si="6"/>
        <v>0</v>
      </c>
      <c r="AH11" s="1206"/>
      <c r="AI11" s="863" t="str">
        <f t="shared" si="7"/>
        <v/>
      </c>
      <c r="AJ11" s="1141"/>
      <c r="AK11" s="3"/>
      <c r="AL11" s="543"/>
      <c r="AM11" s="50"/>
      <c r="AN11" s="518" t="s">
        <v>704</v>
      </c>
      <c r="AO11" s="3"/>
      <c r="AP11" s="3"/>
      <c r="AQ11" s="3"/>
      <c r="AR11" s="3"/>
      <c r="AS11" s="3"/>
      <c r="AT11" s="3"/>
      <c r="AU11" s="3"/>
      <c r="AV11" s="3"/>
      <c r="AW11" s="3"/>
      <c r="AX11" s="3"/>
      <c r="AY11" s="3"/>
      <c r="AZ11" s="3"/>
      <c r="BA11" s="205"/>
      <c r="BB11" s="544"/>
    </row>
    <row r="12" spans="1:54" ht="15.75">
      <c r="A12" s="110"/>
      <c r="C12" s="109"/>
      <c r="D12" s="155"/>
      <c r="E12" s="155"/>
      <c r="F12" s="155"/>
      <c r="L12" s="1133" t="s">
        <v>462</v>
      </c>
      <c r="M12" s="1196"/>
      <c r="N12" s="1196"/>
      <c r="O12" s="1196"/>
      <c r="P12" s="1134"/>
      <c r="Q12" s="1133" t="s">
        <v>211</v>
      </c>
      <c r="R12" s="1134"/>
      <c r="S12" s="1133" t="s">
        <v>212</v>
      </c>
      <c r="T12" s="1134"/>
      <c r="U12" s="1133" t="s">
        <v>213</v>
      </c>
      <c r="V12" s="1134"/>
      <c r="W12" s="3"/>
      <c r="X12" s="3"/>
      <c r="Y12" s="1205">
        <f t="shared" si="8"/>
        <v>0</v>
      </c>
      <c r="Z12" s="1206"/>
      <c r="AA12" s="863" t="str">
        <f t="shared" si="9"/>
        <v/>
      </c>
      <c r="AB12" s="1141"/>
      <c r="AC12" s="3"/>
      <c r="AE12" s="3"/>
      <c r="AF12" s="3"/>
      <c r="AG12" s="1205">
        <f t="shared" si="6"/>
        <v>0</v>
      </c>
      <c r="AH12" s="1206"/>
      <c r="AI12" s="863" t="str">
        <f t="shared" si="7"/>
        <v/>
      </c>
      <c r="AJ12" s="1141"/>
      <c r="AK12" s="3"/>
      <c r="AL12" s="543"/>
      <c r="AM12" s="50"/>
      <c r="AN12" s="518" t="s">
        <v>705</v>
      </c>
      <c r="AO12" s="3"/>
      <c r="AP12" s="3"/>
      <c r="AQ12" s="3"/>
      <c r="AR12" s="3"/>
      <c r="AS12" s="3"/>
      <c r="AT12" s="3"/>
      <c r="AU12" s="3"/>
      <c r="AV12" s="3"/>
      <c r="AW12" s="3"/>
      <c r="AX12" s="3"/>
      <c r="AY12" s="3"/>
      <c r="AZ12" s="3"/>
      <c r="BA12" s="205"/>
      <c r="BB12" s="544"/>
    </row>
    <row r="13" spans="1:54" ht="15.75">
      <c r="A13" s="110"/>
      <c r="L13" s="1194" t="s">
        <v>201</v>
      </c>
      <c r="M13" s="1195"/>
      <c r="N13" s="1202" t="e">
        <f>'Zemin Büyütmesi ve ZHTP'!F13</f>
        <v>#DIV/0!</v>
      </c>
      <c r="O13" s="1203"/>
      <c r="P13" s="1204"/>
      <c r="Q13" s="1137" t="str">
        <f>'Zemin Büyütmesi ve ZHTP'!G13</f>
        <v/>
      </c>
      <c r="R13" s="1138"/>
      <c r="S13" s="1137" t="str">
        <f>IF(ISERROR(23*N13^(-0.45)),"",23*N13^(-0.45))</f>
        <v/>
      </c>
      <c r="T13" s="1138"/>
      <c r="U13" s="1137" t="e">
        <f>1.67*(LOG(6750/(N13*yoğunluk!E18)))</f>
        <v>#DIV/0!</v>
      </c>
      <c r="V13" s="1138"/>
      <c r="W13" s="3"/>
      <c r="X13" s="3"/>
      <c r="Y13" s="1205">
        <f t="shared" si="8"/>
        <v>0</v>
      </c>
      <c r="Z13" s="1206"/>
      <c r="AA13" s="863" t="str">
        <f t="shared" si="9"/>
        <v/>
      </c>
      <c r="AB13" s="1141"/>
      <c r="AC13" s="3"/>
      <c r="AE13" s="3"/>
      <c r="AF13" s="3"/>
      <c r="AG13" s="1205">
        <f t="shared" si="6"/>
        <v>0</v>
      </c>
      <c r="AH13" s="1206"/>
      <c r="AI13" s="863" t="str">
        <f t="shared" si="7"/>
        <v/>
      </c>
      <c r="AJ13" s="1141"/>
      <c r="AK13" s="3"/>
      <c r="AL13" s="543"/>
      <c r="AM13" s="50"/>
      <c r="AN13" s="518" t="s">
        <v>706</v>
      </c>
      <c r="AO13" s="3"/>
      <c r="AP13" s="3"/>
      <c r="AQ13" s="3"/>
      <c r="AR13" s="3"/>
      <c r="AS13" s="3"/>
      <c r="AT13" s="3"/>
      <c r="AU13" s="3"/>
      <c r="AV13" s="3"/>
      <c r="AW13" s="3"/>
      <c r="AX13" s="3"/>
      <c r="AY13" s="3"/>
      <c r="AZ13" s="3"/>
      <c r="BA13" s="205"/>
      <c r="BB13" s="544"/>
    </row>
    <row r="14" spans="1:54" ht="15.75">
      <c r="L14" s="1197" t="s">
        <v>216</v>
      </c>
      <c r="M14" s="1198"/>
      <c r="N14" s="1198"/>
      <c r="O14" s="1198"/>
      <c r="P14" s="1199"/>
      <c r="Q14" s="1200" t="str">
        <f>IF(AND(Q13&gt;2.5,Q13&lt;=4),"Orta Tehlike",IF(AND(Q13&gt;4,Q13&lt;=6.5),"Yüksek Tehlike",IF(AND(Q13&gt;0,R13&lt;=2.5),"Düşük Tehlike",IF(AND(Q13&gt;6.5,Q13&lt;=10),"D- Çok Yüksek Tehlike",IFERROR(Q13,"")))))</f>
        <v>Düşük Tehlike</v>
      </c>
      <c r="R14" s="1201"/>
      <c r="S14" s="1135" t="b">
        <f>IF(AND(S13&gt;2.5,S13&lt;=4),"Orta Tehlike",IF(AND(S13&gt;4,S13&lt;=6.5),"Yüksek Tehlike",IF(AND(S13&gt;0,S13&lt;=2.5),"Düşük Tehlike",IF(AND(S13&gt;6.5,S13&lt;=10),"D- Çok Yüksek Tehlike"";EĞERHATA(J26;"""))))</f>
        <v>0</v>
      </c>
      <c r="T14" s="1136"/>
      <c r="U14" s="1135" t="e">
        <f>IF(AND(U13&gt;2.5,U13&lt;=4),"B - Orta Tehlike",IF(AND(U13&gt;4,U13&lt;=6.5),"C - Yüksek Tehlike",IF(U13&lt;=2.5,"A - Düşük Tehlike",IF(U13&gt;6.5,"D - Çok Yüksek Tehlike"))))</f>
        <v>#DIV/0!</v>
      </c>
      <c r="V14" s="1136"/>
      <c r="W14" s="3"/>
      <c r="X14" s="3"/>
      <c r="Y14" s="1205">
        <f t="shared" si="8"/>
        <v>0</v>
      </c>
      <c r="Z14" s="1206"/>
      <c r="AA14" s="863" t="str">
        <f t="shared" si="9"/>
        <v/>
      </c>
      <c r="AB14" s="1141"/>
      <c r="AC14" s="3"/>
      <c r="AE14" s="3"/>
      <c r="AF14" s="3"/>
      <c r="AG14" s="1205">
        <f t="shared" si="6"/>
        <v>0</v>
      </c>
      <c r="AH14" s="1206"/>
      <c r="AI14" s="863" t="str">
        <f t="shared" si="7"/>
        <v/>
      </c>
      <c r="AJ14" s="1141"/>
      <c r="AK14" s="3"/>
      <c r="AL14" s="543"/>
      <c r="AM14" s="50"/>
      <c r="AN14" s="518" t="s">
        <v>707</v>
      </c>
      <c r="AO14" s="3"/>
      <c r="AP14" s="3"/>
      <c r="AQ14" s="3"/>
      <c r="AR14" s="3"/>
      <c r="AS14" s="3"/>
      <c r="AT14" s="3"/>
      <c r="AU14" s="3"/>
      <c r="AV14" s="3"/>
      <c r="AW14" s="3"/>
      <c r="AX14" s="3"/>
      <c r="AY14" s="3"/>
      <c r="AZ14" s="3"/>
      <c r="BA14" s="205"/>
      <c r="BB14" s="544"/>
    </row>
    <row r="15" spans="1:54" ht="16.5" thickBot="1">
      <c r="W15" s="3"/>
      <c r="X15" s="3"/>
      <c r="Y15" s="1205">
        <f t="shared" si="8"/>
        <v>0</v>
      </c>
      <c r="Z15" s="1206"/>
      <c r="AA15" s="863" t="str">
        <f t="shared" si="9"/>
        <v/>
      </c>
      <c r="AB15" s="1141"/>
      <c r="AC15" s="3"/>
      <c r="AE15" s="3"/>
      <c r="AF15" s="3"/>
      <c r="AG15" s="1226">
        <f t="shared" si="6"/>
        <v>0</v>
      </c>
      <c r="AH15" s="1227"/>
      <c r="AI15" s="1228" t="str">
        <f t="shared" si="7"/>
        <v/>
      </c>
      <c r="AJ15" s="1229"/>
      <c r="AK15" s="3"/>
      <c r="AL15" s="543"/>
      <c r="AM15" s="50"/>
      <c r="AN15" s="518" t="s">
        <v>708</v>
      </c>
      <c r="AO15" s="3"/>
      <c r="AP15" s="3"/>
      <c r="AQ15" s="3"/>
      <c r="AR15" s="3"/>
      <c r="AS15" s="3"/>
      <c r="AT15" s="3"/>
      <c r="AU15" s="3"/>
      <c r="AV15" s="3"/>
      <c r="AW15" s="3"/>
      <c r="AX15" s="3"/>
      <c r="AY15" s="3"/>
      <c r="AZ15" s="3"/>
      <c r="BA15" s="205"/>
      <c r="BB15" s="544"/>
    </row>
    <row r="16" spans="1:54" ht="16.5" customHeight="1" thickBot="1">
      <c r="A16" s="71"/>
      <c r="B16" s="1021" t="s">
        <v>85</v>
      </c>
      <c r="C16" s="1021"/>
      <c r="D16" s="1021"/>
      <c r="E16" s="1021"/>
      <c r="F16" s="1021"/>
      <c r="G16" s="1021"/>
      <c r="H16" s="1021"/>
      <c r="I16" s="1021"/>
      <c r="K16" s="3"/>
      <c r="L16" s="3"/>
      <c r="M16" s="1114" t="s">
        <v>450</v>
      </c>
      <c r="N16" s="1114"/>
      <c r="O16" s="1114"/>
      <c r="P16" s="1114"/>
      <c r="Q16" s="1114"/>
      <c r="R16" s="1114"/>
      <c r="W16" s="3"/>
      <c r="X16" s="3"/>
      <c r="Y16" s="1226">
        <f t="shared" si="8"/>
        <v>0</v>
      </c>
      <c r="Z16" s="1227"/>
      <c r="AA16" s="1228" t="str">
        <f t="shared" si="9"/>
        <v/>
      </c>
      <c r="AB16" s="1229"/>
      <c r="AC16" s="3"/>
      <c r="AE16" s="3"/>
      <c r="AF16" s="3"/>
      <c r="AG16" s="3"/>
      <c r="AH16" s="3"/>
      <c r="AI16" s="3"/>
      <c r="AJ16" s="3"/>
      <c r="AK16" s="3"/>
      <c r="AL16" s="543"/>
      <c r="AM16" s="50"/>
      <c r="AN16" s="518" t="s">
        <v>709</v>
      </c>
      <c r="AO16" s="3"/>
      <c r="AP16" s="3"/>
      <c r="AQ16" s="3"/>
      <c r="AR16" s="3"/>
      <c r="AS16" s="3"/>
      <c r="AT16" s="3"/>
      <c r="AU16" s="3"/>
      <c r="AV16" s="3"/>
      <c r="AW16" s="3"/>
      <c r="AX16" s="3"/>
      <c r="AY16" s="3"/>
      <c r="AZ16" s="3"/>
      <c r="BA16" s="205"/>
      <c r="BB16" s="544"/>
    </row>
    <row r="17" spans="1:54" ht="15" customHeight="1">
      <c r="A17" s="1193"/>
      <c r="B17" s="880" t="s">
        <v>84</v>
      </c>
      <c r="C17" s="880" t="s">
        <v>460</v>
      </c>
      <c r="D17" s="880" t="s">
        <v>82</v>
      </c>
      <c r="E17" s="880"/>
      <c r="F17" s="880" t="s">
        <v>83</v>
      </c>
      <c r="G17" s="880"/>
      <c r="H17" s="880" t="s">
        <v>86</v>
      </c>
      <c r="I17" s="880"/>
      <c r="K17" s="3"/>
      <c r="L17" s="3"/>
      <c r="M17" s="1114"/>
      <c r="N17" s="1114"/>
      <c r="O17" s="1114"/>
      <c r="P17" s="1114"/>
      <c r="Q17" s="1114"/>
      <c r="R17" s="1114"/>
      <c r="S17" s="1035"/>
      <c r="T17" s="1035"/>
      <c r="U17" s="989"/>
      <c r="V17" s="989"/>
      <c r="W17" s="989"/>
      <c r="X17" s="989"/>
      <c r="Y17" s="989"/>
      <c r="Z17" s="989"/>
      <c r="AA17" s="989"/>
      <c r="AL17" s="543"/>
      <c r="AM17" s="50"/>
      <c r="AN17" s="518" t="s">
        <v>710</v>
      </c>
      <c r="AO17" s="3"/>
      <c r="AP17" s="3"/>
      <c r="AQ17" s="3"/>
      <c r="AR17" s="3"/>
      <c r="AS17" s="3"/>
      <c r="AT17" s="3"/>
      <c r="AU17" s="3"/>
      <c r="AV17" s="3"/>
      <c r="AW17" s="3"/>
      <c r="AX17" s="3"/>
      <c r="AY17" s="3"/>
      <c r="AZ17" s="3"/>
      <c r="BA17" s="205"/>
      <c r="BB17" s="544"/>
    </row>
    <row r="18" spans="1:54" ht="15.75" customHeight="1">
      <c r="A18" s="1193"/>
      <c r="B18" s="880"/>
      <c r="C18" s="880"/>
      <c r="D18" s="880"/>
      <c r="E18" s="880"/>
      <c r="F18" s="880"/>
      <c r="G18" s="880"/>
      <c r="H18" s="880"/>
      <c r="I18" s="880"/>
      <c r="K18" s="3"/>
      <c r="L18" s="3"/>
      <c r="M18" s="1114"/>
      <c r="N18" s="1114"/>
      <c r="O18" s="1114"/>
      <c r="P18" s="1114"/>
      <c r="Q18" s="1114"/>
      <c r="R18" s="1114"/>
      <c r="S18" s="1182"/>
      <c r="T18" s="148"/>
      <c r="U18" s="148"/>
      <c r="V18" s="149"/>
      <c r="W18" s="149"/>
      <c r="X18" s="149"/>
      <c r="Y18" s="149"/>
      <c r="Z18" s="148"/>
      <c r="AA18" s="148"/>
      <c r="AL18" s="543"/>
      <c r="AM18" s="50"/>
      <c r="AN18" s="518" t="s">
        <v>711</v>
      </c>
      <c r="AO18" s="3"/>
      <c r="AP18" s="3"/>
      <c r="AQ18" s="3"/>
      <c r="AR18" s="3"/>
      <c r="AS18" s="3"/>
      <c r="AT18" s="3"/>
      <c r="AU18" s="3"/>
      <c r="AV18" s="3"/>
      <c r="AW18" s="3"/>
      <c r="AX18" s="3"/>
      <c r="AY18" s="3"/>
      <c r="AZ18" s="3"/>
      <c r="BA18" s="205"/>
      <c r="BB18" s="544"/>
    </row>
    <row r="19" spans="1:54" ht="15" customHeight="1">
      <c r="A19" s="197"/>
      <c r="B19" s="717" t="s">
        <v>221</v>
      </c>
      <c r="C19" s="763">
        <f>Sismik!C25</f>
        <v>0</v>
      </c>
      <c r="D19" s="1043" t="str">
        <f>IF(AND(C19&lt;180,C19&gt;=0.1),"Zayıf Zemin",IF(AND(C19&gt;180,C19&lt;=360),"Sert/Sıkı ",IF(AND(C19&gt;360,C19&lt;=760),"ÇokSıkı Sert Zemin/ Y. Kaya",IF(AND(C19&gt;760,C19&lt;=1500),"Kaya",IF(C19=0,"",IF(C19&gt;1500,"Sert Kaya"))))))</f>
        <v/>
      </c>
      <c r="E19" s="1044"/>
      <c r="F19" s="1043" t="str">
        <f>IF(AND(C19&lt;180,C19&gt;=0.1),"Gevşek'ten orta sıkıya kohezyonsuz zemin yada yumuşaktan sert'e kohezyonlu zemin",IF(AND(C19&gt;180,C19&lt;=360),"Sıkı yada orta sıkı kum çakıl veya sert kil ",IF(AND(C19&gt;360,C19&lt;=800),"Çok sıkı kum çakıl  yada çok sert kil",IF(C19=0,"",IF(C19&gt;800,"Kaya yada kaya benzeri formasyon")))))</f>
        <v/>
      </c>
      <c r="G19" s="1044"/>
      <c r="H19" s="1011">
        <f t="shared" ref="H19:H24" si="10">I5</f>
        <v>0</v>
      </c>
      <c r="I19" s="1046"/>
      <c r="K19" s="3"/>
      <c r="L19" s="3"/>
      <c r="M19" s="1132" t="s">
        <v>73</v>
      </c>
      <c r="N19" s="880" t="s">
        <v>80</v>
      </c>
      <c r="O19" s="880" t="s">
        <v>218</v>
      </c>
      <c r="P19" s="880" t="s">
        <v>219</v>
      </c>
      <c r="Q19" s="880" t="s">
        <v>454</v>
      </c>
      <c r="R19" s="880" t="s">
        <v>451</v>
      </c>
      <c r="S19" s="1182"/>
      <c r="T19" s="148"/>
      <c r="U19" s="148"/>
      <c r="V19" s="149"/>
      <c r="W19" s="149"/>
      <c r="X19" s="149"/>
      <c r="Y19" s="149"/>
      <c r="Z19" s="148"/>
      <c r="AA19" s="148"/>
      <c r="AL19" s="543"/>
      <c r="AM19" s="50"/>
      <c r="AN19" s="518" t="s">
        <v>712</v>
      </c>
      <c r="AO19" s="3"/>
      <c r="AP19" s="3"/>
      <c r="AQ19" s="3"/>
      <c r="AR19" s="3"/>
      <c r="AS19" s="3"/>
      <c r="AT19" s="3"/>
      <c r="AU19" s="3"/>
      <c r="AV19" s="3"/>
      <c r="AW19" s="3"/>
      <c r="AX19" s="3"/>
      <c r="AY19" s="3"/>
      <c r="AZ19" s="3"/>
      <c r="BA19" s="205"/>
      <c r="BB19" s="544"/>
    </row>
    <row r="20" spans="1:54" ht="15" customHeight="1">
      <c r="A20" s="197"/>
      <c r="B20" s="718" t="s">
        <v>222</v>
      </c>
      <c r="C20" s="764">
        <f>Sismik!C52</f>
        <v>0</v>
      </c>
      <c r="D20" s="1039" t="str">
        <f t="shared" ref="D20:D24" si="11">IF(AND(C20&lt;180,C20&gt;=0.1),"Zayıf Zemin",IF(AND(C20&gt;180,C20&lt;=360),"Sert/Sıkı ",IF(AND(C20&gt;360,C20&lt;=760),"ÇokSıkı Sert Zemin/ Y. Kaya",IF(AND(C20&gt;760,C20&lt;=1500),"Kaya",IF(C20=0,"",IF(C20&gt;1500,"Sert Kaya"))))))</f>
        <v/>
      </c>
      <c r="E20" s="1040"/>
      <c r="F20" s="1039" t="str">
        <f t="shared" ref="F20:F24" si="12">IF(AND(C20&lt;180,C20&gt;=0.1),"Gevşek'ten orta sıkıya kohezyonsuz zemin yada yumuşaktan sert'e kohezyonlu zemin",IF(AND(C20&gt;180,C20&lt;=360),"Sıkı yada orta sıkı kum çakıl veya sert kil ",IF(AND(C20&gt;360,C20&lt;=800),"Çok sıkı kum çakıl  yada çok sert kil",IF(C20=0,"",IF(C20&gt;800,"Kaya yada kaya benzeri formasyon")))))</f>
        <v/>
      </c>
      <c r="G20" s="1040"/>
      <c r="H20" s="1041">
        <f t="shared" si="10"/>
        <v>0</v>
      </c>
      <c r="I20" s="1042"/>
      <c r="K20" s="3"/>
      <c r="L20" s="3"/>
      <c r="M20" s="1132"/>
      <c r="N20" s="880"/>
      <c r="O20" s="880"/>
      <c r="P20" s="880"/>
      <c r="Q20" s="880"/>
      <c r="R20" s="880"/>
      <c r="S20" s="147"/>
      <c r="T20" s="150"/>
      <c r="U20" s="150"/>
      <c r="V20" s="1"/>
      <c r="W20" s="1"/>
      <c r="X20" s="1"/>
      <c r="Y20" s="1"/>
      <c r="Z20" s="150"/>
      <c r="AA20" s="151"/>
      <c r="AL20" s="543"/>
      <c r="AM20" s="50"/>
      <c r="AN20" s="3"/>
      <c r="AO20" s="3"/>
      <c r="AP20" s="3"/>
      <c r="AQ20" s="3"/>
      <c r="AR20" s="3"/>
      <c r="AS20" s="3"/>
      <c r="AT20" s="3"/>
      <c r="AU20" s="3"/>
      <c r="AV20" s="3"/>
      <c r="AW20" s="3"/>
      <c r="AX20" s="3"/>
      <c r="AY20" s="3"/>
      <c r="AZ20" s="3"/>
      <c r="BA20" s="205"/>
      <c r="BB20" s="544"/>
    </row>
    <row r="21" spans="1:54" ht="15" customHeight="1">
      <c r="A21" s="197"/>
      <c r="B21" s="718" t="s">
        <v>223</v>
      </c>
      <c r="C21" s="764">
        <f>Sismik!C78</f>
        <v>0</v>
      </c>
      <c r="D21" s="1039" t="str">
        <f t="shared" si="11"/>
        <v/>
      </c>
      <c r="E21" s="1040"/>
      <c r="F21" s="1039" t="str">
        <f t="shared" si="12"/>
        <v/>
      </c>
      <c r="G21" s="1040"/>
      <c r="H21" s="1041">
        <f t="shared" si="10"/>
        <v>0</v>
      </c>
      <c r="I21" s="1042"/>
      <c r="K21" s="3"/>
      <c r="L21" s="3"/>
      <c r="M21" s="720" t="s">
        <v>374</v>
      </c>
      <c r="N21" s="765" t="e">
        <f>Sismik!C15</f>
        <v>#DIV/0!</v>
      </c>
      <c r="O21" s="765" t="e">
        <f>N21*0.67</f>
        <v>#DIV/0!</v>
      </c>
      <c r="P21" s="766" t="e">
        <f>1.5*N21</f>
        <v>#DIV/0!</v>
      </c>
      <c r="Q21" s="767">
        <f>Sismik!C25</f>
        <v>0</v>
      </c>
      <c r="R21" s="768" t="str">
        <f>IF(Q21&gt;1500,"A",IF(AND(Q21&gt;360,Q21&lt;=760),"C",IF(AND(Q21&gt;760,Q21&lt;=1500),"B",IF(AND(Q21&gt;180,Q21&lt;=360),"D",IF(Q21=0,"",IF(Q21&lt;180,"E"))))))</f>
        <v/>
      </c>
      <c r="S21" s="147"/>
      <c r="T21" s="150"/>
      <c r="U21" s="150"/>
      <c r="V21" s="152"/>
      <c r="W21" s="152"/>
      <c r="X21" s="152"/>
      <c r="Y21" s="152"/>
      <c r="Z21" s="150"/>
      <c r="AA21" s="151"/>
      <c r="AL21" s="543"/>
      <c r="AM21" s="50"/>
      <c r="AN21" s="3"/>
      <c r="AO21" s="3"/>
      <c r="AP21" s="3"/>
      <c r="AQ21" s="3"/>
      <c r="AR21" s="3"/>
      <c r="AS21" s="3"/>
      <c r="AT21" s="3"/>
      <c r="AU21" s="3"/>
      <c r="AV21" s="3"/>
      <c r="AW21" s="3"/>
      <c r="AX21" s="3"/>
      <c r="AY21" s="3"/>
      <c r="AZ21" s="3"/>
      <c r="BA21" s="205"/>
      <c r="BB21" s="544"/>
    </row>
    <row r="22" spans="1:54" ht="15" customHeight="1">
      <c r="A22" s="197"/>
      <c r="B22" s="718" t="s">
        <v>224</v>
      </c>
      <c r="C22" s="764">
        <f>Sismik!C104</f>
        <v>0</v>
      </c>
      <c r="D22" s="1039" t="str">
        <f t="shared" si="11"/>
        <v/>
      </c>
      <c r="E22" s="1040"/>
      <c r="F22" s="1039" t="str">
        <f t="shared" si="12"/>
        <v/>
      </c>
      <c r="G22" s="1040"/>
      <c r="H22" s="1041">
        <f t="shared" si="10"/>
        <v>0</v>
      </c>
      <c r="I22" s="1042"/>
      <c r="K22" s="3"/>
      <c r="L22" s="3"/>
      <c r="M22" s="491" t="s">
        <v>375</v>
      </c>
      <c r="N22" s="769" t="e">
        <f>Sismik!C42</f>
        <v>#DIV/0!</v>
      </c>
      <c r="O22" s="769" t="e">
        <f t="shared" ref="O22:O26" si="13">N22*0.67</f>
        <v>#DIV/0!</v>
      </c>
      <c r="P22" s="770" t="e">
        <f t="shared" ref="P22:P26" si="14">1.5*N22</f>
        <v>#DIV/0!</v>
      </c>
      <c r="Q22" s="767">
        <f>Sismik!C52</f>
        <v>0</v>
      </c>
      <c r="R22" s="768" t="str">
        <f>IF(Q22&gt;1500,"A",IF(AND(Q22&gt;360,Q22&lt;=760),"C",IF(AND(Q22&gt;760,Q22&lt;=1500),"B",IF(AND(Q22&gt;180,Q22&lt;=360),"D",IF(Q22=0,"",IF(Q22&lt;180,"E"))))))</f>
        <v/>
      </c>
      <c r="S22" s="147"/>
      <c r="T22" s="150"/>
      <c r="U22" s="150"/>
      <c r="V22" s="152"/>
      <c r="W22" s="152"/>
      <c r="X22" s="152"/>
      <c r="Y22" s="152"/>
      <c r="Z22" s="150"/>
      <c r="AA22" s="151"/>
      <c r="AL22" s="543"/>
      <c r="AM22" s="50"/>
      <c r="AN22" s="532" t="s">
        <v>706</v>
      </c>
      <c r="AO22" s="3"/>
      <c r="AP22" s="3"/>
      <c r="AQ22" s="3"/>
      <c r="AR22" s="3"/>
      <c r="AS22" s="3"/>
      <c r="AT22" s="3"/>
      <c r="AU22" s="3"/>
      <c r="AV22" s="3"/>
      <c r="AW22" s="3"/>
      <c r="AX22" s="3"/>
      <c r="AY22" s="3"/>
      <c r="AZ22" s="3"/>
      <c r="BA22" s="205"/>
      <c r="BB22" s="544"/>
    </row>
    <row r="23" spans="1:54" ht="15" customHeight="1" thickBot="1">
      <c r="A23" s="197"/>
      <c r="B23" s="718" t="s">
        <v>225</v>
      </c>
      <c r="C23" s="764">
        <f>Sismik!C130</f>
        <v>0</v>
      </c>
      <c r="D23" s="1039" t="str">
        <f t="shared" si="11"/>
        <v/>
      </c>
      <c r="E23" s="1040"/>
      <c r="F23" s="1039" t="str">
        <f t="shared" si="12"/>
        <v/>
      </c>
      <c r="G23" s="1040"/>
      <c r="H23" s="1041">
        <f t="shared" si="10"/>
        <v>0</v>
      </c>
      <c r="I23" s="1042"/>
      <c r="K23" s="3"/>
      <c r="L23" s="3"/>
      <c r="M23" s="491" t="s">
        <v>376</v>
      </c>
      <c r="N23" s="769" t="e">
        <f>Sismik!C68</f>
        <v>#DIV/0!</v>
      </c>
      <c r="O23" s="769" t="e">
        <f t="shared" si="13"/>
        <v>#DIV/0!</v>
      </c>
      <c r="P23" s="770" t="e">
        <f t="shared" si="14"/>
        <v>#DIV/0!</v>
      </c>
      <c r="Q23" s="767">
        <f>Sismik!C78</f>
        <v>0</v>
      </c>
      <c r="R23" s="744" t="str">
        <f t="shared" ref="R23:R26" si="15">IF(Q23&gt;1500,"A",IF(AND(Q23&gt;360,Q23&lt;=760),"C",IF(AND(Q23&gt;760,Q23&lt;=1500),"B",IF(AND(Q23&gt;180,Q23&lt;=360),"D",IF(Q23=0,"",IF(Q23&lt;180,"E"))))))</f>
        <v/>
      </c>
      <c r="S23" s="147"/>
      <c r="T23" s="150"/>
      <c r="U23" s="150"/>
      <c r="V23" s="152"/>
      <c r="W23" s="152"/>
      <c r="X23" s="152"/>
      <c r="Y23" s="152"/>
      <c r="Z23" s="150"/>
      <c r="AA23" s="151"/>
      <c r="AL23" s="543"/>
      <c r="AM23" s="50"/>
      <c r="AN23" s="3"/>
      <c r="AO23" s="3"/>
      <c r="AP23" s="3"/>
      <c r="AQ23" s="3"/>
      <c r="AR23" s="3"/>
      <c r="AS23" s="3"/>
      <c r="AT23" s="3"/>
      <c r="AU23" s="3"/>
      <c r="AV23" s="3"/>
      <c r="AW23" s="3"/>
      <c r="AX23" s="3"/>
      <c r="AY23" s="3"/>
      <c r="AZ23" s="3"/>
      <c r="BA23" s="205"/>
      <c r="BB23" s="544"/>
    </row>
    <row r="24" spans="1:54" ht="15" customHeight="1" thickBot="1">
      <c r="A24" s="197"/>
      <c r="B24" s="719" t="s">
        <v>226</v>
      </c>
      <c r="C24" s="764">
        <f>Sismik!C156</f>
        <v>0</v>
      </c>
      <c r="D24" s="1039" t="str">
        <f t="shared" si="11"/>
        <v/>
      </c>
      <c r="E24" s="1040"/>
      <c r="F24" s="1039" t="str">
        <f t="shared" si="12"/>
        <v/>
      </c>
      <c r="G24" s="1040"/>
      <c r="H24" s="1041">
        <f t="shared" si="10"/>
        <v>0</v>
      </c>
      <c r="I24" s="1042"/>
      <c r="K24" s="3"/>
      <c r="L24" s="3"/>
      <c r="M24" s="491" t="s">
        <v>377</v>
      </c>
      <c r="N24" s="769" t="e">
        <f>Sismik!C94</f>
        <v>#DIV/0!</v>
      </c>
      <c r="O24" s="769" t="e">
        <f t="shared" si="13"/>
        <v>#DIV/0!</v>
      </c>
      <c r="P24" s="770" t="e">
        <f t="shared" si="14"/>
        <v>#DIV/0!</v>
      </c>
      <c r="Q24" s="767">
        <f>Sismik!C104</f>
        <v>0</v>
      </c>
      <c r="R24" s="744" t="str">
        <f t="shared" si="15"/>
        <v/>
      </c>
      <c r="S24" s="147"/>
      <c r="T24" s="150"/>
      <c r="U24" s="150"/>
      <c r="V24" s="152"/>
      <c r="W24" s="152"/>
      <c r="X24" s="152"/>
      <c r="Y24" s="152"/>
      <c r="Z24" s="150"/>
      <c r="AA24" s="151"/>
      <c r="AL24" s="543"/>
      <c r="AM24" s="50"/>
      <c r="AN24" s="531" t="s">
        <v>713</v>
      </c>
      <c r="AO24" s="1108">
        <f>(AZ7^2*0.00008)/(AZ6*(0.9889*9.8))</f>
        <v>1.5437099180941547</v>
      </c>
      <c r="AP24" s="1109"/>
      <c r="AQ24" s="3"/>
      <c r="AR24" s="3"/>
      <c r="AS24" s="3"/>
      <c r="AT24" s="3"/>
      <c r="AU24" s="3"/>
      <c r="AV24" s="3"/>
      <c r="AW24" s="3"/>
      <c r="AX24" s="3"/>
      <c r="AY24" s="3"/>
      <c r="AZ24" s="3"/>
      <c r="BA24" s="205"/>
      <c r="BB24" s="544"/>
    </row>
    <row r="25" spans="1:54" ht="15.75" thickBot="1">
      <c r="A25" s="11"/>
      <c r="M25" s="491" t="s">
        <v>378</v>
      </c>
      <c r="N25" s="769" t="e">
        <f>Sismik!C120</f>
        <v>#DIV/0!</v>
      </c>
      <c r="O25" s="769" t="e">
        <f t="shared" si="13"/>
        <v>#DIV/0!</v>
      </c>
      <c r="P25" s="770" t="e">
        <f t="shared" si="14"/>
        <v>#DIV/0!</v>
      </c>
      <c r="Q25" s="767">
        <f>Sismik!C130</f>
        <v>0</v>
      </c>
      <c r="R25" s="744" t="str">
        <f t="shared" si="15"/>
        <v/>
      </c>
      <c r="S25" s="1123"/>
      <c r="T25" s="1174"/>
      <c r="U25" s="1174"/>
      <c r="V25" s="857"/>
      <c r="W25" s="857"/>
      <c r="X25" s="857"/>
      <c r="Y25" s="857"/>
      <c r="Z25" s="1241"/>
      <c r="AA25" s="1241"/>
      <c r="AL25" s="543"/>
      <c r="AM25" s="50"/>
      <c r="AN25" s="3"/>
      <c r="AO25" s="3"/>
      <c r="AP25" s="3"/>
      <c r="AQ25" s="3"/>
      <c r="AR25" s="3"/>
      <c r="AS25" s="3"/>
      <c r="AT25" s="3"/>
      <c r="AU25" s="3"/>
      <c r="AV25" s="3"/>
      <c r="AW25" s="3"/>
      <c r="AX25" s="3"/>
      <c r="AY25" s="3"/>
      <c r="AZ25" s="3"/>
      <c r="BA25" s="205"/>
      <c r="BB25" s="544"/>
    </row>
    <row r="26" spans="1:54" ht="19.5" thickBot="1">
      <c r="A26" s="11"/>
      <c r="M26" s="721" t="s">
        <v>379</v>
      </c>
      <c r="N26" s="769" t="e">
        <f>Sismik!C146</f>
        <v>#DIV/0!</v>
      </c>
      <c r="O26" s="769" t="e">
        <f t="shared" si="13"/>
        <v>#DIV/0!</v>
      </c>
      <c r="P26" s="770" t="e">
        <f t="shared" si="14"/>
        <v>#DIV/0!</v>
      </c>
      <c r="Q26" s="767">
        <f>Sismik!C156</f>
        <v>0</v>
      </c>
      <c r="R26" s="744" t="str">
        <f t="shared" si="15"/>
        <v/>
      </c>
      <c r="S26" s="1123"/>
      <c r="T26" s="1174"/>
      <c r="U26" s="1174"/>
      <c r="V26" s="857"/>
      <c r="W26" s="857"/>
      <c r="X26" s="857"/>
      <c r="Y26" s="857"/>
      <c r="Z26" s="1241"/>
      <c r="AA26" s="1241"/>
      <c r="AL26" s="543"/>
      <c r="AM26" s="50"/>
      <c r="AN26" s="531" t="s">
        <v>714</v>
      </c>
      <c r="AO26" s="1108">
        <f>1.6*(AO24/0.4)</f>
        <v>6.1748396723766188</v>
      </c>
      <c r="AP26" s="1109"/>
      <c r="AQ26" s="1110" t="str">
        <f>IF(AO26&lt;=1,"Sıvılaşma beklenir","sıvılaşma beklenmez")</f>
        <v>sıvılaşma beklenmez</v>
      </c>
      <c r="AR26" s="1111"/>
      <c r="AS26" s="1112"/>
      <c r="AT26" s="50"/>
      <c r="AU26" s="3"/>
      <c r="AV26" s="3"/>
      <c r="AW26" s="3"/>
      <c r="AX26" s="3"/>
      <c r="AY26" s="3"/>
      <c r="AZ26" s="3"/>
      <c r="BA26" s="205"/>
      <c r="BB26" s="544"/>
    </row>
    <row r="27" spans="1:54">
      <c r="N27" s="228">
        <v>2</v>
      </c>
      <c r="P27" s="228">
        <v>2</v>
      </c>
      <c r="AL27" s="543"/>
      <c r="AM27" s="50"/>
      <c r="AN27" s="3"/>
      <c r="AO27" s="3"/>
      <c r="AP27" s="3"/>
      <c r="AQ27" s="3"/>
      <c r="AR27" s="3"/>
      <c r="AS27" s="3"/>
      <c r="AT27" s="3"/>
      <c r="AU27" s="3"/>
      <c r="AV27" s="3"/>
      <c r="AW27" s="3"/>
      <c r="AX27" s="3"/>
      <c r="AY27" s="3"/>
      <c r="AZ27" s="3"/>
      <c r="BA27" s="205"/>
      <c r="BB27" s="544"/>
    </row>
    <row r="28" spans="1:54" ht="15.75" customHeight="1" thickBot="1">
      <c r="B28" s="984" t="s">
        <v>338</v>
      </c>
      <c r="C28" s="984"/>
      <c r="D28" s="984"/>
      <c r="E28" s="984"/>
      <c r="F28" s="984"/>
      <c r="G28" s="67"/>
      <c r="H28" s="67"/>
      <c r="I28" s="67"/>
      <c r="J28" s="67"/>
      <c r="K28" s="67"/>
      <c r="L28" s="67"/>
      <c r="N28" s="880" t="s">
        <v>349</v>
      </c>
      <c r="O28" s="880"/>
      <c r="P28" s="880"/>
      <c r="Q28" s="880"/>
      <c r="R28" s="880"/>
      <c r="S28" s="1257" t="s">
        <v>373</v>
      </c>
      <c r="T28" s="1257"/>
      <c r="U28" s="1257"/>
      <c r="V28" s="1257"/>
      <c r="W28" s="1257"/>
      <c r="X28" s="1257"/>
      <c r="AL28" s="543"/>
      <c r="AM28" s="207"/>
      <c r="AN28" s="208"/>
      <c r="AO28" s="208"/>
      <c r="AP28" s="208"/>
      <c r="AQ28" s="208"/>
      <c r="AR28" s="208"/>
      <c r="AS28" s="208"/>
      <c r="AT28" s="208"/>
      <c r="AU28" s="208"/>
      <c r="AV28" s="208"/>
      <c r="AW28" s="208"/>
      <c r="AX28" s="208"/>
      <c r="AY28" s="208"/>
      <c r="AZ28" s="208"/>
      <c r="BA28" s="206"/>
      <c r="BB28" s="544"/>
    </row>
    <row r="29" spans="1:54" ht="15.75" customHeight="1">
      <c r="B29" s="556" t="s">
        <v>243</v>
      </c>
      <c r="C29" s="1021" t="s">
        <v>326</v>
      </c>
      <c r="D29" s="1021"/>
      <c r="E29" s="1021" t="s">
        <v>327</v>
      </c>
      <c r="F29" s="1021"/>
      <c r="G29" s="146"/>
      <c r="H29" s="1242"/>
      <c r="I29" s="1242"/>
      <c r="J29" s="1242"/>
      <c r="K29" s="1242"/>
      <c r="L29" s="3"/>
      <c r="N29" s="880" t="s">
        <v>350</v>
      </c>
      <c r="O29" s="880"/>
      <c r="P29" s="880"/>
      <c r="Q29" s="880"/>
      <c r="R29" s="880"/>
      <c r="T29" s="1258" t="s">
        <v>350</v>
      </c>
      <c r="U29" s="1258"/>
      <c r="V29" s="1258"/>
      <c r="W29" s="1258"/>
      <c r="X29" s="154"/>
      <c r="AL29" s="542"/>
      <c r="AM29" s="542"/>
      <c r="AN29" s="542"/>
      <c r="AO29" s="542"/>
      <c r="AP29" s="542"/>
      <c r="AQ29" s="542"/>
      <c r="AR29" s="542"/>
      <c r="AS29" s="542"/>
      <c r="AT29" s="542"/>
      <c r="AU29" s="542"/>
      <c r="AV29" s="542"/>
      <c r="AW29" s="542"/>
      <c r="AX29" s="542"/>
      <c r="AY29" s="542"/>
      <c r="AZ29" s="542"/>
      <c r="BA29" s="542"/>
      <c r="BB29" s="542"/>
    </row>
    <row r="30" spans="1:54" ht="15.75" thickBot="1">
      <c r="B30" s="1231" t="s">
        <v>328</v>
      </c>
      <c r="C30" s="1233" t="s">
        <v>336</v>
      </c>
      <c r="D30" s="1234"/>
      <c r="E30" s="1237" t="s">
        <v>329</v>
      </c>
      <c r="F30" s="1238"/>
      <c r="G30" s="3"/>
      <c r="H30" s="1243"/>
      <c r="I30" s="1244"/>
      <c r="J30" s="1107"/>
      <c r="K30" s="1107"/>
      <c r="L30" s="3"/>
      <c r="N30" s="556" t="s">
        <v>243</v>
      </c>
      <c r="O30" s="1021" t="s">
        <v>326</v>
      </c>
      <c r="P30" s="1021"/>
      <c r="Q30" s="1021" t="s">
        <v>327</v>
      </c>
      <c r="R30" s="1021"/>
      <c r="AA30" s="1230" t="s">
        <v>395</v>
      </c>
      <c r="AB30" s="1230"/>
      <c r="AC30" s="1230"/>
      <c r="AD30" s="1230"/>
      <c r="AE30" s="1230"/>
      <c r="AF30" s="1230"/>
      <c r="AG30" s="1230"/>
      <c r="AH30" s="1230"/>
      <c r="AI30" s="1230"/>
      <c r="AJ30" s="1230"/>
      <c r="AK30" s="1230"/>
      <c r="AL30" s="1315"/>
      <c r="AM30" s="1316"/>
      <c r="AN30" s="1316"/>
      <c r="AO30" s="1316"/>
    </row>
    <row r="31" spans="1:54" ht="15.75" thickBot="1">
      <c r="B31" s="1232"/>
      <c r="C31" s="1235"/>
      <c r="D31" s="1236"/>
      <c r="E31" s="1239"/>
      <c r="F31" s="1240"/>
      <c r="G31" s="3"/>
      <c r="H31" s="1243"/>
      <c r="I31" s="1244"/>
      <c r="J31" s="1107"/>
      <c r="K31" s="1107"/>
      <c r="L31" s="3"/>
      <c r="N31" s="555" t="s">
        <v>328</v>
      </c>
      <c r="O31" s="1213" t="s">
        <v>339</v>
      </c>
      <c r="P31" s="1252"/>
      <c r="Q31" s="1213" t="s">
        <v>340</v>
      </c>
      <c r="R31" s="1252"/>
      <c r="T31" s="1098" t="s">
        <v>371</v>
      </c>
      <c r="U31" s="1099"/>
      <c r="V31" s="1098" t="s">
        <v>243</v>
      </c>
      <c r="W31" s="1099"/>
      <c r="AA31" s="1220" t="s">
        <v>243</v>
      </c>
      <c r="AB31" s="1142" t="s">
        <v>273</v>
      </c>
      <c r="AC31" s="1143"/>
      <c r="AD31" s="1143"/>
      <c r="AE31" s="1143"/>
      <c r="AF31" s="1143"/>
      <c r="AG31" s="1144"/>
      <c r="AH31" s="1148" t="s">
        <v>393</v>
      </c>
      <c r="AI31" s="1149"/>
      <c r="AJ31" s="1150"/>
      <c r="AK31" s="1151" t="s">
        <v>280</v>
      </c>
      <c r="AL31" s="1313"/>
      <c r="AM31" s="1244"/>
      <c r="AN31" s="1107"/>
      <c r="AO31" s="1107"/>
    </row>
    <row r="32" spans="1:54">
      <c r="B32" s="1245" t="s">
        <v>330</v>
      </c>
      <c r="C32" s="1253" t="s">
        <v>331</v>
      </c>
      <c r="D32" s="1254"/>
      <c r="E32" s="1250" t="s">
        <v>381</v>
      </c>
      <c r="F32" s="1251"/>
      <c r="G32" s="3"/>
      <c r="H32" s="1243"/>
      <c r="I32" s="1244"/>
      <c r="J32" s="1107"/>
      <c r="K32" s="1107"/>
      <c r="L32" s="3"/>
      <c r="N32" s="153" t="s">
        <v>330</v>
      </c>
      <c r="O32" s="863" t="s">
        <v>341</v>
      </c>
      <c r="P32" s="872"/>
      <c r="Q32" s="863" t="s">
        <v>343</v>
      </c>
      <c r="R32" s="872"/>
      <c r="T32" s="1259">
        <f>C19</f>
        <v>0</v>
      </c>
      <c r="U32" s="1260"/>
      <c r="V32" s="1224" t="str">
        <f t="shared" ref="V32:V37" si="16">IF(T32&gt;1500,"A",IF(AND(T32&gt;360,T32&lt;=760),"C",IF(AND(T32&gt;760,T32&lt;=1500),"B",IF(AND(T32&gt;180,T32&lt;=360),"D",IF(T32=0,"",IF(T32&lt;180,"E"))))))</f>
        <v/>
      </c>
      <c r="W32" s="1225"/>
      <c r="AA32" s="1221"/>
      <c r="AB32" s="1145"/>
      <c r="AC32" s="1146"/>
      <c r="AD32" s="1146"/>
      <c r="AE32" s="1146"/>
      <c r="AF32" s="1146"/>
      <c r="AG32" s="1147"/>
      <c r="AH32" s="140" t="s">
        <v>274</v>
      </c>
      <c r="AI32" s="1153" t="s">
        <v>275</v>
      </c>
      <c r="AJ32" s="1154"/>
      <c r="AK32" s="1152"/>
      <c r="AL32" s="1313"/>
      <c r="AM32" s="1244"/>
      <c r="AN32" s="1107"/>
      <c r="AO32" s="1107"/>
    </row>
    <row r="33" spans="1:43">
      <c r="B33" s="1232"/>
      <c r="C33" s="1235"/>
      <c r="D33" s="1236"/>
      <c r="E33" s="1239"/>
      <c r="F33" s="1240"/>
      <c r="G33" s="3"/>
      <c r="H33" s="1243"/>
      <c r="I33" s="1244"/>
      <c r="J33" s="1107"/>
      <c r="K33" s="1107"/>
      <c r="L33" s="3"/>
      <c r="N33" s="1245" t="s">
        <v>332</v>
      </c>
      <c r="O33" s="1246" t="s">
        <v>344</v>
      </c>
      <c r="P33" s="1247"/>
      <c r="Q33" s="1250" t="s">
        <v>345</v>
      </c>
      <c r="R33" s="1251"/>
      <c r="T33" s="1205">
        <f t="shared" ref="T33:T36" si="17">C20</f>
        <v>0</v>
      </c>
      <c r="U33" s="1206"/>
      <c r="V33" s="863" t="str">
        <f t="shared" si="16"/>
        <v/>
      </c>
      <c r="W33" s="1141"/>
      <c r="AA33" s="192" t="s">
        <v>328</v>
      </c>
      <c r="AB33" s="1155" t="s">
        <v>277</v>
      </c>
      <c r="AC33" s="1156"/>
      <c r="AD33" s="1156"/>
      <c r="AE33" s="1156"/>
      <c r="AF33" s="1156"/>
      <c r="AG33" s="1157"/>
      <c r="AH33" s="164" t="s">
        <v>278</v>
      </c>
      <c r="AI33" s="1158" t="s">
        <v>279</v>
      </c>
      <c r="AJ33" s="1159"/>
      <c r="AK33" s="193" t="s">
        <v>281</v>
      </c>
      <c r="AL33" s="1313"/>
      <c r="AM33" s="1244"/>
      <c r="AN33" s="1107"/>
      <c r="AO33" s="1107"/>
    </row>
    <row r="34" spans="1:43">
      <c r="B34" s="1245" t="s">
        <v>332</v>
      </c>
      <c r="C34" s="1253" t="s">
        <v>333</v>
      </c>
      <c r="D34" s="1254"/>
      <c r="E34" s="1250" t="s">
        <v>342</v>
      </c>
      <c r="F34" s="1251"/>
      <c r="G34" s="3"/>
      <c r="H34" s="1243"/>
      <c r="I34" s="1244"/>
      <c r="J34" s="1107"/>
      <c r="K34" s="1107"/>
      <c r="L34" s="3"/>
      <c r="N34" s="1232"/>
      <c r="O34" s="1248"/>
      <c r="P34" s="1249"/>
      <c r="Q34" s="1239"/>
      <c r="R34" s="1240"/>
      <c r="T34" s="1205">
        <f t="shared" si="17"/>
        <v>0</v>
      </c>
      <c r="U34" s="1206"/>
      <c r="V34" s="863" t="str">
        <f t="shared" si="16"/>
        <v/>
      </c>
      <c r="W34" s="1141"/>
      <c r="AA34" s="192" t="s">
        <v>330</v>
      </c>
      <c r="AB34" s="1155" t="s">
        <v>283</v>
      </c>
      <c r="AC34" s="1156"/>
      <c r="AD34" s="1156"/>
      <c r="AE34" s="1156"/>
      <c r="AF34" s="1156"/>
      <c r="AG34" s="1157"/>
      <c r="AH34" s="164" t="s">
        <v>284</v>
      </c>
      <c r="AI34" s="1158" t="s">
        <v>285</v>
      </c>
      <c r="AJ34" s="1159"/>
      <c r="AK34" s="194" t="s">
        <v>286</v>
      </c>
      <c r="AL34" s="1313"/>
      <c r="AM34" s="1244"/>
      <c r="AN34" s="1107"/>
      <c r="AO34" s="1107"/>
    </row>
    <row r="35" spans="1:43">
      <c r="B35" s="1232"/>
      <c r="C35" s="1235"/>
      <c r="D35" s="1236"/>
      <c r="E35" s="1239"/>
      <c r="F35" s="1240"/>
      <c r="G35" s="3"/>
      <c r="H35" s="1243"/>
      <c r="I35" s="1244"/>
      <c r="J35" s="1107"/>
      <c r="K35" s="1107"/>
      <c r="L35" s="3"/>
      <c r="N35" s="153" t="s">
        <v>334</v>
      </c>
      <c r="O35" s="863" t="s">
        <v>346</v>
      </c>
      <c r="P35" s="872"/>
      <c r="Q35" s="863" t="s">
        <v>342</v>
      </c>
      <c r="R35" s="872"/>
      <c r="T35" s="1205">
        <f t="shared" si="17"/>
        <v>0</v>
      </c>
      <c r="U35" s="1206"/>
      <c r="V35" s="863" t="str">
        <f t="shared" si="16"/>
        <v/>
      </c>
      <c r="W35" s="1141"/>
      <c r="AA35" s="1160" t="s">
        <v>332</v>
      </c>
      <c r="AB35" s="1162" t="s">
        <v>288</v>
      </c>
      <c r="AC35" s="1163"/>
      <c r="AD35" s="1163"/>
      <c r="AE35" s="1163"/>
      <c r="AF35" s="1163"/>
      <c r="AG35" s="1164"/>
      <c r="AH35" s="1168" t="s">
        <v>289</v>
      </c>
      <c r="AI35" s="1170" t="s">
        <v>290</v>
      </c>
      <c r="AJ35" s="1171"/>
      <c r="AK35" s="1279" t="s">
        <v>291</v>
      </c>
      <c r="AL35" s="1313"/>
      <c r="AM35" s="1244"/>
      <c r="AN35" s="1107"/>
      <c r="AO35" s="1107"/>
    </row>
    <row r="36" spans="1:43">
      <c r="B36" s="1245" t="s">
        <v>334</v>
      </c>
      <c r="C36" s="1253" t="s">
        <v>335</v>
      </c>
      <c r="D36" s="1254"/>
      <c r="E36" s="1250" t="s">
        <v>337</v>
      </c>
      <c r="F36" s="1251"/>
      <c r="G36" s="3"/>
      <c r="H36" s="3"/>
      <c r="I36" s="3"/>
      <c r="J36" s="3"/>
      <c r="K36" s="3"/>
      <c r="L36" s="3"/>
      <c r="N36" s="153" t="s">
        <v>562</v>
      </c>
      <c r="O36" s="863" t="s">
        <v>347</v>
      </c>
      <c r="P36" s="872"/>
      <c r="Q36" s="863" t="s">
        <v>348</v>
      </c>
      <c r="R36" s="872"/>
      <c r="T36" s="1139">
        <f t="shared" si="17"/>
        <v>0</v>
      </c>
      <c r="U36" s="1140"/>
      <c r="V36" s="863" t="str">
        <f t="shared" si="16"/>
        <v/>
      </c>
      <c r="W36" s="1141"/>
      <c r="AA36" s="1161"/>
      <c r="AB36" s="1165"/>
      <c r="AC36" s="1166"/>
      <c r="AD36" s="1166"/>
      <c r="AE36" s="1166"/>
      <c r="AF36" s="1166"/>
      <c r="AG36" s="1167"/>
      <c r="AH36" s="1169"/>
      <c r="AI36" s="1172"/>
      <c r="AJ36" s="1173"/>
      <c r="AK36" s="1280"/>
      <c r="AL36" s="1314"/>
      <c r="AM36" s="1107"/>
      <c r="AN36" s="1107"/>
      <c r="AO36" s="1107"/>
    </row>
    <row r="37" spans="1:43" ht="15.75" thickBot="1">
      <c r="B37" s="1231"/>
      <c r="C37" s="1233"/>
      <c r="D37" s="1234"/>
      <c r="E37" s="1237"/>
      <c r="F37" s="1238"/>
      <c r="T37" s="1255">
        <f>C24</f>
        <v>0</v>
      </c>
      <c r="U37" s="1256"/>
      <c r="V37" s="1218" t="str">
        <f t="shared" si="16"/>
        <v/>
      </c>
      <c r="W37" s="1219"/>
      <c r="AA37" s="192" t="s">
        <v>334</v>
      </c>
      <c r="AB37" s="1155" t="s">
        <v>293</v>
      </c>
      <c r="AC37" s="1156"/>
      <c r="AD37" s="1156"/>
      <c r="AE37" s="1156"/>
      <c r="AF37" s="1156"/>
      <c r="AG37" s="1157"/>
      <c r="AH37" s="164" t="s">
        <v>294</v>
      </c>
      <c r="AI37" s="1158" t="s">
        <v>295</v>
      </c>
      <c r="AJ37" s="1159"/>
      <c r="AK37" s="194" t="s">
        <v>296</v>
      </c>
    </row>
    <row r="38" spans="1:43">
      <c r="B38" s="1231"/>
      <c r="C38" s="1233"/>
      <c r="D38" s="1234"/>
      <c r="E38" s="1237"/>
      <c r="F38" s="1238"/>
      <c r="T38" s="1107"/>
      <c r="U38" s="1107"/>
      <c r="V38" s="1107"/>
      <c r="W38" s="1107"/>
      <c r="AA38" s="1160" t="s">
        <v>562</v>
      </c>
      <c r="AB38" s="1282" t="s">
        <v>298</v>
      </c>
      <c r="AC38" s="1283"/>
      <c r="AD38" s="1283"/>
      <c r="AE38" s="1283"/>
      <c r="AF38" s="1283"/>
      <c r="AG38" s="1284"/>
      <c r="AH38" s="1168" t="s">
        <v>396</v>
      </c>
      <c r="AI38" s="1170" t="s">
        <v>299</v>
      </c>
      <c r="AJ38" s="1171"/>
      <c r="AK38" s="1279" t="s">
        <v>300</v>
      </c>
    </row>
    <row r="39" spans="1:43" ht="15" customHeight="1">
      <c r="B39" s="1232"/>
      <c r="C39" s="1235"/>
      <c r="D39" s="1236"/>
      <c r="E39" s="1239"/>
      <c r="F39" s="1240"/>
      <c r="AA39" s="1281"/>
      <c r="AB39" s="1285"/>
      <c r="AC39" s="1286"/>
      <c r="AD39" s="1286"/>
      <c r="AE39" s="1286"/>
      <c r="AF39" s="1286"/>
      <c r="AG39" s="1287"/>
      <c r="AH39" s="1291"/>
      <c r="AI39" s="1292"/>
      <c r="AJ39" s="1293"/>
      <c r="AK39" s="1294"/>
      <c r="AL39" s="1113" t="s">
        <v>450</v>
      </c>
      <c r="AM39" s="1114"/>
      <c r="AN39" s="1114"/>
      <c r="AO39" s="1114"/>
      <c r="AP39" s="1114"/>
      <c r="AQ39" s="1114"/>
    </row>
    <row r="40" spans="1:43">
      <c r="AA40" s="1161"/>
      <c r="AB40" s="1288"/>
      <c r="AC40" s="1289"/>
      <c r="AD40" s="1289"/>
      <c r="AE40" s="1289"/>
      <c r="AF40" s="1289"/>
      <c r="AG40" s="1290"/>
      <c r="AH40" s="1169"/>
      <c r="AI40" s="1172"/>
      <c r="AJ40" s="1173"/>
      <c r="AK40" s="1280"/>
      <c r="AL40" s="1113"/>
      <c r="AM40" s="1114"/>
      <c r="AN40" s="1114"/>
      <c r="AO40" s="1114"/>
      <c r="AP40" s="1114"/>
      <c r="AQ40" s="1114"/>
    </row>
    <row r="41" spans="1:43" ht="15.75" customHeight="1">
      <c r="AA41" s="1295" t="s">
        <v>563</v>
      </c>
      <c r="AB41" s="1298" t="s">
        <v>302</v>
      </c>
      <c r="AC41" s="1299"/>
      <c r="AD41" s="1299"/>
      <c r="AE41" s="1299"/>
      <c r="AF41" s="1299"/>
      <c r="AG41" s="1300"/>
      <c r="AH41" s="1307"/>
      <c r="AI41" s="1170" t="s">
        <v>303</v>
      </c>
      <c r="AJ41" s="1171"/>
      <c r="AK41" s="1279" t="s">
        <v>304</v>
      </c>
      <c r="AL41" s="1113"/>
      <c r="AM41" s="1114"/>
      <c r="AN41" s="1114"/>
      <c r="AO41" s="1114"/>
      <c r="AP41" s="1114"/>
      <c r="AQ41" s="1114"/>
    </row>
    <row r="42" spans="1:43" ht="15" customHeight="1">
      <c r="N42" s="1113" t="s">
        <v>450</v>
      </c>
      <c r="O42" s="1114"/>
      <c r="P42" s="1114"/>
      <c r="Q42" s="1114"/>
      <c r="R42" s="1114"/>
      <c r="S42" s="1114"/>
      <c r="AA42" s="1296"/>
      <c r="AB42" s="1301"/>
      <c r="AC42" s="1302"/>
      <c r="AD42" s="1302"/>
      <c r="AE42" s="1302"/>
      <c r="AF42" s="1302"/>
      <c r="AG42" s="1303"/>
      <c r="AH42" s="1308"/>
      <c r="AI42" s="1292"/>
      <c r="AJ42" s="1293"/>
      <c r="AK42" s="1292"/>
      <c r="AL42" s="1132" t="s">
        <v>73</v>
      </c>
      <c r="AM42" s="880" t="s">
        <v>80</v>
      </c>
      <c r="AN42" s="880" t="s">
        <v>218</v>
      </c>
      <c r="AO42" s="880" t="s">
        <v>219</v>
      </c>
      <c r="AP42" s="880" t="s">
        <v>454</v>
      </c>
      <c r="AQ42" s="880" t="s">
        <v>451</v>
      </c>
    </row>
    <row r="43" spans="1:43">
      <c r="N43" s="1113"/>
      <c r="O43" s="1114"/>
      <c r="P43" s="1114"/>
      <c r="Q43" s="1114"/>
      <c r="R43" s="1114"/>
      <c r="S43" s="1114"/>
      <c r="AA43" s="1296"/>
      <c r="AB43" s="1301"/>
      <c r="AC43" s="1302"/>
      <c r="AD43" s="1302"/>
      <c r="AE43" s="1302"/>
      <c r="AF43" s="1302"/>
      <c r="AG43" s="1303"/>
      <c r="AH43" s="1308"/>
      <c r="AI43" s="1292"/>
      <c r="AJ43" s="1293"/>
      <c r="AK43" s="1292"/>
      <c r="AL43" s="1132"/>
      <c r="AM43" s="880"/>
      <c r="AN43" s="880"/>
      <c r="AO43" s="880"/>
      <c r="AP43" s="880"/>
      <c r="AQ43" s="880"/>
    </row>
    <row r="44" spans="1:43" ht="15" customHeight="1" thickBot="1">
      <c r="N44" s="1115"/>
      <c r="O44" s="1116"/>
      <c r="P44" s="1116"/>
      <c r="Q44" s="1116"/>
      <c r="R44" s="1116"/>
      <c r="S44" s="1116"/>
      <c r="AA44" s="1296"/>
      <c r="AB44" s="1301"/>
      <c r="AC44" s="1302"/>
      <c r="AD44" s="1302"/>
      <c r="AE44" s="1302"/>
      <c r="AF44" s="1302"/>
      <c r="AG44" s="1303"/>
      <c r="AH44" s="1308"/>
      <c r="AI44" s="1292"/>
      <c r="AJ44" s="1293"/>
      <c r="AK44" s="1294"/>
      <c r="AL44" s="547" t="s">
        <v>374</v>
      </c>
      <c r="AM44" s="545" t="e">
        <f>Sismik!C15</f>
        <v>#DIV/0!</v>
      </c>
      <c r="AN44" s="545" t="e">
        <f>AM44*0.67</f>
        <v>#DIV/0!</v>
      </c>
      <c r="AO44" s="195" t="e">
        <f>1.5*AM44</f>
        <v>#DIV/0!</v>
      </c>
      <c r="AP44" s="557">
        <f>C19</f>
        <v>0</v>
      </c>
      <c r="AQ44" s="255" t="str">
        <f>IF(AP44&gt;1500,"A",IF(AND(AP44&gt;360,AP44&lt;=760),"C",IF(AND(AP44&gt;760,AP44&lt;=1500),"B",IF(AND(AP44&gt;180,AP44&lt;=360),"D",IF(AP44=0,"",IF(AP44&lt;180,"E"))))))</f>
        <v/>
      </c>
    </row>
    <row r="45" spans="1:43" ht="15.75" thickBot="1">
      <c r="N45" s="1117" t="s">
        <v>73</v>
      </c>
      <c r="O45" s="1119" t="s">
        <v>80</v>
      </c>
      <c r="P45" s="1119" t="s">
        <v>218</v>
      </c>
      <c r="Q45" s="1119" t="s">
        <v>219</v>
      </c>
      <c r="R45" s="1121" t="s">
        <v>454</v>
      </c>
      <c r="S45" s="1121" t="s">
        <v>451</v>
      </c>
      <c r="AA45" s="1296"/>
      <c r="AB45" s="1301"/>
      <c r="AC45" s="1302"/>
      <c r="AD45" s="1302"/>
      <c r="AE45" s="1302"/>
      <c r="AF45" s="1302"/>
      <c r="AG45" s="1303"/>
      <c r="AH45" s="1308"/>
      <c r="AI45" s="1292"/>
      <c r="AJ45" s="1293"/>
      <c r="AK45" s="1294"/>
      <c r="AL45" s="178" t="s">
        <v>375</v>
      </c>
      <c r="AM45" s="196" t="e">
        <f>Sismik!C42</f>
        <v>#DIV/0!</v>
      </c>
      <c r="AN45" s="243" t="e">
        <f t="shared" ref="AN45:AN49" si="18">AM45*0.67</f>
        <v>#DIV/0!</v>
      </c>
      <c r="AO45" s="246" t="e">
        <f t="shared" ref="AO45:AO49" si="19">1.5*AM45</f>
        <v>#DIV/0!</v>
      </c>
      <c r="AP45" s="557">
        <f t="shared" ref="AP45:AP49" si="20">C20</f>
        <v>0</v>
      </c>
      <c r="AQ45" s="255" t="str">
        <f>IF(AP45&gt;1500,"A",IF(AND(AP45&gt;360,AP45&lt;=760),"C",IF(AND(AP45&gt;760,AP45&lt;=1500),"B",IF(AND(AP45&gt;180,AP45&lt;=360),"D",IF(AP45=0,"",IF(AP45&lt;180,"E"))))))</f>
        <v/>
      </c>
    </row>
    <row r="46" spans="1:43" ht="15.75" thickBot="1">
      <c r="A46" s="228"/>
      <c r="B46" s="1207" t="s">
        <v>418</v>
      </c>
      <c r="C46" s="1274"/>
      <c r="D46" s="1274"/>
      <c r="E46" s="1210"/>
      <c r="F46" s="228"/>
      <c r="N46" s="1118"/>
      <c r="O46" s="1120"/>
      <c r="P46" s="1120"/>
      <c r="Q46" s="1120"/>
      <c r="R46" s="1122"/>
      <c r="S46" s="1122"/>
      <c r="AA46" s="1296"/>
      <c r="AB46" s="1301"/>
      <c r="AC46" s="1302"/>
      <c r="AD46" s="1302"/>
      <c r="AE46" s="1302"/>
      <c r="AF46" s="1302"/>
      <c r="AG46" s="1303"/>
      <c r="AH46" s="1308"/>
      <c r="AI46" s="1292"/>
      <c r="AJ46" s="1293"/>
      <c r="AK46" s="1294"/>
      <c r="AL46" s="178" t="s">
        <v>376</v>
      </c>
      <c r="AM46" s="243" t="e">
        <f>Sismik!C68</f>
        <v>#DIV/0!</v>
      </c>
      <c r="AN46" s="243" t="e">
        <f t="shared" si="18"/>
        <v>#DIV/0!</v>
      </c>
      <c r="AO46" s="246" t="e">
        <f t="shared" si="19"/>
        <v>#DIV/0!</v>
      </c>
      <c r="AP46" s="557">
        <f t="shared" si="20"/>
        <v>0</v>
      </c>
      <c r="AQ46" s="254" t="str">
        <f t="shared" ref="AQ46:AQ49" si="21">IF(AP46&gt;1500,"A",IF(AND(AP46&gt;360,AP46&lt;=760),"C",IF(AND(AP46&gt;760,AP46&lt;=1500),"B",IF(AND(AP46&gt;180,AP46&lt;=360),"D",IF(AP46=0,"",IF(AP46&lt;180,"E"))))))</f>
        <v/>
      </c>
    </row>
    <row r="47" spans="1:43">
      <c r="B47" s="1275" t="s">
        <v>46</v>
      </c>
      <c r="C47" s="1276"/>
      <c r="D47" s="1277" t="e">
        <f>30/((Sismik!C8/Sismik!C7)+(30-Sismik!C8)/Sismik!D7)</f>
        <v>#DIV/0!</v>
      </c>
      <c r="E47" s="1278"/>
      <c r="N47" s="722" t="s">
        <v>374</v>
      </c>
      <c r="O47" s="771" t="e">
        <f t="shared" ref="O47:Q52" si="22">AM44</f>
        <v>#DIV/0!</v>
      </c>
      <c r="P47" s="771" t="e">
        <f t="shared" si="22"/>
        <v>#DIV/0!</v>
      </c>
      <c r="Q47" s="766" t="e">
        <f t="shared" si="22"/>
        <v>#DIV/0!</v>
      </c>
      <c r="R47" s="772">
        <f>AP44</f>
        <v>0</v>
      </c>
      <c r="S47" s="773" t="str">
        <f>AQ44</f>
        <v/>
      </c>
      <c r="AA47" s="1296"/>
      <c r="AB47" s="1301"/>
      <c r="AC47" s="1302"/>
      <c r="AD47" s="1302"/>
      <c r="AE47" s="1302"/>
      <c r="AF47" s="1302"/>
      <c r="AG47" s="1303"/>
      <c r="AH47" s="1308"/>
      <c r="AI47" s="1292"/>
      <c r="AJ47" s="1293"/>
      <c r="AK47" s="1294"/>
      <c r="AL47" s="178" t="s">
        <v>377</v>
      </c>
      <c r="AM47" s="243" t="e">
        <f>Sismik!C94</f>
        <v>#DIV/0!</v>
      </c>
      <c r="AN47" s="243" t="e">
        <f t="shared" si="18"/>
        <v>#DIV/0!</v>
      </c>
      <c r="AO47" s="246" t="e">
        <f t="shared" si="19"/>
        <v>#DIV/0!</v>
      </c>
      <c r="AP47" s="557">
        <f t="shared" si="20"/>
        <v>0</v>
      </c>
      <c r="AQ47" s="254" t="str">
        <f t="shared" si="21"/>
        <v/>
      </c>
    </row>
    <row r="48" spans="1:43">
      <c r="B48" s="1266" t="s">
        <v>47</v>
      </c>
      <c r="C48" s="1267"/>
      <c r="D48" s="1268" t="e">
        <f>30/((Sismik!C35/Sismik!C34)+(30-Sismik!C35)/Sismik!D34)</f>
        <v>#DIV/0!</v>
      </c>
      <c r="E48" s="1269"/>
      <c r="N48" s="491" t="s">
        <v>375</v>
      </c>
      <c r="O48" s="774" t="e">
        <f t="shared" si="22"/>
        <v>#DIV/0!</v>
      </c>
      <c r="P48" s="769" t="e">
        <f t="shared" si="22"/>
        <v>#DIV/0!</v>
      </c>
      <c r="Q48" s="770" t="e">
        <f t="shared" si="22"/>
        <v>#DIV/0!</v>
      </c>
      <c r="R48" s="744">
        <f>AP45</f>
        <v>0</v>
      </c>
      <c r="S48" s="775" t="str">
        <f>AQ45</f>
        <v/>
      </c>
      <c r="AA48" s="1296"/>
      <c r="AB48" s="1301"/>
      <c r="AC48" s="1302"/>
      <c r="AD48" s="1302"/>
      <c r="AE48" s="1302"/>
      <c r="AF48" s="1302"/>
      <c r="AG48" s="1303"/>
      <c r="AH48" s="1308"/>
      <c r="AI48" s="1292"/>
      <c r="AJ48" s="1293"/>
      <c r="AK48" s="1294"/>
      <c r="AL48" s="178" t="s">
        <v>378</v>
      </c>
      <c r="AM48" s="243" t="e">
        <f>Sismik!C120</f>
        <v>#DIV/0!</v>
      </c>
      <c r="AN48" s="243" t="e">
        <f t="shared" si="18"/>
        <v>#DIV/0!</v>
      </c>
      <c r="AO48" s="246" t="e">
        <f t="shared" si="19"/>
        <v>#DIV/0!</v>
      </c>
      <c r="AP48" s="557">
        <f t="shared" si="20"/>
        <v>0</v>
      </c>
      <c r="AQ48" s="254" t="str">
        <f t="shared" si="21"/>
        <v/>
      </c>
    </row>
    <row r="49" spans="2:43" ht="15.75" thickBot="1">
      <c r="B49" s="1266" t="s">
        <v>48</v>
      </c>
      <c r="C49" s="1267"/>
      <c r="D49" s="1268" t="e">
        <f>30/((Sismik!C61/Sismik!C60)+(30-Sismik!C61)/Sismik!D60)</f>
        <v>#DIV/0!</v>
      </c>
      <c r="E49" s="1269"/>
      <c r="N49" s="491" t="s">
        <v>376</v>
      </c>
      <c r="O49" s="769" t="e">
        <f t="shared" si="22"/>
        <v>#DIV/0!</v>
      </c>
      <c r="P49" s="769" t="e">
        <f t="shared" si="22"/>
        <v>#DIV/0!</v>
      </c>
      <c r="Q49" s="770" t="e">
        <f t="shared" si="22"/>
        <v>#DIV/0!</v>
      </c>
      <c r="R49" s="744">
        <f t="shared" ref="R49:R52" si="23">AP46</f>
        <v>0</v>
      </c>
      <c r="S49" s="775" t="str">
        <f>AQ46</f>
        <v/>
      </c>
      <c r="AA49" s="1297"/>
      <c r="AB49" s="1304"/>
      <c r="AC49" s="1305"/>
      <c r="AD49" s="1305"/>
      <c r="AE49" s="1305"/>
      <c r="AF49" s="1305"/>
      <c r="AG49" s="1306"/>
      <c r="AH49" s="1309"/>
      <c r="AI49" s="1310"/>
      <c r="AJ49" s="1311"/>
      <c r="AK49" s="1312"/>
      <c r="AL49" s="191" t="s">
        <v>379</v>
      </c>
      <c r="AM49" s="160" t="e">
        <f>Sismik!C146</f>
        <v>#DIV/0!</v>
      </c>
      <c r="AN49" s="243" t="e">
        <f t="shared" si="18"/>
        <v>#DIV/0!</v>
      </c>
      <c r="AO49" s="246" t="e">
        <f t="shared" si="19"/>
        <v>#DIV/0!</v>
      </c>
      <c r="AP49" s="557">
        <f t="shared" si="20"/>
        <v>0</v>
      </c>
      <c r="AQ49" s="254" t="str">
        <f t="shared" si="21"/>
        <v/>
      </c>
    </row>
    <row r="50" spans="2:43" ht="15.75" thickBot="1">
      <c r="B50" s="1266" t="s">
        <v>49</v>
      </c>
      <c r="C50" s="1267"/>
      <c r="D50" s="1268" t="e">
        <f>30/((Sismik!C97/Sismik!C86)+(30-Sismik!C87)/Sismik!D86)</f>
        <v>#DIV/0!</v>
      </c>
      <c r="E50" s="1269"/>
      <c r="N50" s="491" t="s">
        <v>377</v>
      </c>
      <c r="O50" s="769" t="e">
        <f t="shared" si="22"/>
        <v>#DIV/0!</v>
      </c>
      <c r="P50" s="769" t="e">
        <f t="shared" si="22"/>
        <v>#DIV/0!</v>
      </c>
      <c r="Q50" s="770" t="e">
        <f t="shared" si="22"/>
        <v>#DIV/0!</v>
      </c>
      <c r="R50" s="744">
        <f t="shared" si="23"/>
        <v>0</v>
      </c>
      <c r="S50" s="775" t="str">
        <f>AQ47</f>
        <v/>
      </c>
    </row>
    <row r="51" spans="2:43" ht="15.75" customHeight="1" thickBot="1">
      <c r="B51" s="1266" t="s">
        <v>50</v>
      </c>
      <c r="C51" s="1267"/>
      <c r="D51" s="1268" t="e">
        <f>30/((Sismik!C113/Sismik!C112)+(30-Sismik!C113)/Sismik!D112)</f>
        <v>#DIV/0!</v>
      </c>
      <c r="E51" s="1269"/>
      <c r="N51" s="491" t="s">
        <v>378</v>
      </c>
      <c r="O51" s="769" t="e">
        <f t="shared" si="22"/>
        <v>#DIV/0!</v>
      </c>
      <c r="P51" s="769" t="e">
        <f t="shared" si="22"/>
        <v>#DIV/0!</v>
      </c>
      <c r="Q51" s="770" t="e">
        <f t="shared" si="22"/>
        <v>#DIV/0!</v>
      </c>
      <c r="R51" s="744">
        <f t="shared" si="23"/>
        <v>0</v>
      </c>
      <c r="S51" s="775" t="str">
        <f>AQ48</f>
        <v/>
      </c>
      <c r="AB51" s="1129" t="s">
        <v>392</v>
      </c>
      <c r="AC51" s="1130"/>
      <c r="AD51" s="218" t="s">
        <v>406</v>
      </c>
      <c r="AE51" s="218"/>
      <c r="AF51" s="218"/>
      <c r="AG51" s="219"/>
    </row>
    <row r="52" spans="2:43" ht="16.5" thickBot="1">
      <c r="B52" s="1270" t="s">
        <v>51</v>
      </c>
      <c r="C52" s="1271"/>
      <c r="D52" s="1272" t="e">
        <f>30/((Sismik!C139/Sismik!C138)+(30-Sismik!C139)/Sismik!D138)</f>
        <v>#DIV/0!</v>
      </c>
      <c r="E52" s="1273"/>
      <c r="N52" s="721" t="s">
        <v>379</v>
      </c>
      <c r="O52" s="776" t="e">
        <f t="shared" si="22"/>
        <v>#DIV/0!</v>
      </c>
      <c r="P52" s="769" t="e">
        <f t="shared" si="22"/>
        <v>#DIV/0!</v>
      </c>
      <c r="Q52" s="770" t="e">
        <f t="shared" si="22"/>
        <v>#DIV/0!</v>
      </c>
      <c r="R52" s="744">
        <f t="shared" si="23"/>
        <v>0</v>
      </c>
      <c r="S52" s="777" t="str">
        <f>AQ49</f>
        <v/>
      </c>
      <c r="AB52" s="221"/>
      <c r="AC52" s="222"/>
      <c r="AD52" s="222"/>
      <c r="AE52" s="222"/>
      <c r="AF52" s="209" t="str">
        <f>IF(AND(AB53=1,AD53=1),"A",IF(AND(AB53=2,AD53=2),"B",IF(AND(AB53=3,AD53=3),"C",IF(AND(AB53=4,AD53=4),"D",IF(AND(AB53=5,AD53=5),"ZE",IF(AB53=6,"F"))))))</f>
        <v>C</v>
      </c>
      <c r="AG52" s="223"/>
    </row>
    <row r="53" spans="2:43" ht="15.75" thickBot="1">
      <c r="AB53" s="224">
        <v>3</v>
      </c>
      <c r="AC53" s="225"/>
      <c r="AD53" s="225">
        <v>3</v>
      </c>
      <c r="AE53" s="225"/>
      <c r="AF53" s="225"/>
      <c r="AG53" s="227"/>
    </row>
    <row r="99" spans="31:33" hidden="1">
      <c r="AE99" s="53" t="s">
        <v>278</v>
      </c>
      <c r="AF99" s="250"/>
      <c r="AG99" s="250" t="s">
        <v>268</v>
      </c>
    </row>
    <row r="100" spans="31:33" hidden="1">
      <c r="AE100" s="53" t="s">
        <v>284</v>
      </c>
      <c r="AF100" s="251"/>
      <c r="AG100" s="251" t="s">
        <v>269</v>
      </c>
    </row>
    <row r="101" spans="31:33" hidden="1">
      <c r="AE101" s="252" t="s">
        <v>289</v>
      </c>
      <c r="AF101" s="253"/>
      <c r="AG101" s="253" t="s">
        <v>270</v>
      </c>
    </row>
    <row r="102" spans="31:33" hidden="1">
      <c r="AE102" s="53" t="s">
        <v>294</v>
      </c>
      <c r="AF102" s="251"/>
      <c r="AG102" s="251" t="s">
        <v>271</v>
      </c>
    </row>
    <row r="103" spans="31:33" hidden="1">
      <c r="AE103" s="252" t="s">
        <v>396</v>
      </c>
      <c r="AF103" s="250"/>
      <c r="AG103" s="250" t="s">
        <v>452</v>
      </c>
    </row>
    <row r="104" spans="31:33" hidden="1">
      <c r="AE104" s="53" t="s">
        <v>417</v>
      </c>
      <c r="AF104" s="250"/>
      <c r="AG104" s="250" t="s">
        <v>453</v>
      </c>
    </row>
    <row r="105" spans="31:33" hidden="1">
      <c r="AG105" t="s">
        <v>417</v>
      </c>
    </row>
    <row r="106" spans="31:33">
      <c r="AE106" s="252"/>
      <c r="AF106" s="250"/>
    </row>
    <row r="107" spans="31:33">
      <c r="AE107" s="252"/>
    </row>
    <row r="108" spans="31:33">
      <c r="AF108" s="1131"/>
    </row>
    <row r="109" spans="31:33">
      <c r="AF109" s="1131"/>
    </row>
    <row r="110" spans="31:33">
      <c r="AF110" s="1131"/>
    </row>
    <row r="111" spans="31:33">
      <c r="AF111" s="1131"/>
    </row>
    <row r="112" spans="31:33">
      <c r="AF112" s="1131"/>
    </row>
    <row r="113" spans="32:32">
      <c r="AF113" s="1131"/>
    </row>
    <row r="114" spans="32:32">
      <c r="AF114" s="1131"/>
    </row>
    <row r="115" spans="32:32">
      <c r="AF115" s="1131"/>
    </row>
    <row r="116" spans="32:32">
      <c r="AF116" s="1131"/>
    </row>
    <row r="300" spans="1:17">
      <c r="A300" t="s">
        <v>328</v>
      </c>
      <c r="B300">
        <f>COUNTIF(V32:V37,"ZA")</f>
        <v>0</v>
      </c>
      <c r="L300" t="s">
        <v>316</v>
      </c>
      <c r="M300">
        <f>COUNTIF(AA11:AA16,"Sert")</f>
        <v>0</v>
      </c>
      <c r="P300" t="s">
        <v>328</v>
      </c>
      <c r="Q300">
        <f>COUNTIF(AQ44:AQ49,"ZA")</f>
        <v>0</v>
      </c>
    </row>
    <row r="301" spans="1:17">
      <c r="A301" t="s">
        <v>330</v>
      </c>
      <c r="B301">
        <f>COUNTIF(V32:V37,"ZB")</f>
        <v>0</v>
      </c>
      <c r="L301" t="s">
        <v>172</v>
      </c>
      <c r="M301">
        <f>COUNTIF(AA11:AA16,"Katı")</f>
        <v>0</v>
      </c>
      <c r="P301" t="s">
        <v>330</v>
      </c>
      <c r="Q301">
        <f>COUNTIF(AQ44:AQ49,"ZB")</f>
        <v>0</v>
      </c>
    </row>
    <row r="302" spans="1:17">
      <c r="A302" t="s">
        <v>332</v>
      </c>
      <c r="B302">
        <f>COUNTIF(V32:V37,"ZC")</f>
        <v>0</v>
      </c>
      <c r="L302" t="s">
        <v>444</v>
      </c>
      <c r="M302">
        <f>COUNTIF(AA11:AA16,"Orta Katı")</f>
        <v>0</v>
      </c>
      <c r="P302" t="s">
        <v>332</v>
      </c>
      <c r="Q302">
        <f>COUNTIF(AQ44:AQ49,"ZC")</f>
        <v>0</v>
      </c>
    </row>
    <row r="303" spans="1:17">
      <c r="A303" t="s">
        <v>334</v>
      </c>
      <c r="B303">
        <f>COUNTIF(V32:V37,"ZD")</f>
        <v>0</v>
      </c>
      <c r="L303" t="s">
        <v>315</v>
      </c>
      <c r="M303">
        <f>COUNTIF(AA11:AA16,"Çok Katı")</f>
        <v>0</v>
      </c>
      <c r="P303" t="s">
        <v>334</v>
      </c>
      <c r="Q303">
        <f>COUNTIF(AQ44:AQ49,"ZD")</f>
        <v>0</v>
      </c>
    </row>
    <row r="304" spans="1:17">
      <c r="A304" t="s">
        <v>562</v>
      </c>
      <c r="B304">
        <f>COUNTIF(V32:V37,"ZE")</f>
        <v>0</v>
      </c>
      <c r="L304" t="s">
        <v>445</v>
      </c>
      <c r="M304">
        <f>COUNTIF(AA11:AA16,"Yumuşak")</f>
        <v>0</v>
      </c>
      <c r="P304" t="s">
        <v>562</v>
      </c>
      <c r="Q304">
        <f>COUNTIF(AQ44:AQ49,"ZE")</f>
        <v>0</v>
      </c>
    </row>
    <row r="305" spans="1:17">
      <c r="P305" t="s">
        <v>563</v>
      </c>
      <c r="Q305">
        <f>COUNTIF(AQ44:AQ49,"ZF")</f>
        <v>0</v>
      </c>
    </row>
    <row r="306" spans="1:17">
      <c r="A306" t="s">
        <v>328</v>
      </c>
      <c r="B306">
        <f>COUNTIF(J30:J35,"ZA")</f>
        <v>0</v>
      </c>
      <c r="L306" t="s">
        <v>316</v>
      </c>
      <c r="M306">
        <f>COUNTIF(AI10:AI15,"Sert")</f>
        <v>0</v>
      </c>
    </row>
    <row r="307" spans="1:17">
      <c r="A307" t="s">
        <v>330</v>
      </c>
      <c r="B307">
        <f>COUNTIF(J30:J35,"ZB")</f>
        <v>0</v>
      </c>
      <c r="L307" t="s">
        <v>172</v>
      </c>
      <c r="M307">
        <f>COUNTIF(AI10:AI15,"Katı")</f>
        <v>0</v>
      </c>
    </row>
    <row r="308" spans="1:17">
      <c r="A308" t="s">
        <v>332</v>
      </c>
      <c r="B308">
        <f>COUNTIF(J30:J35,"ZC")</f>
        <v>0</v>
      </c>
      <c r="L308" t="s">
        <v>444</v>
      </c>
      <c r="M308">
        <f>COUNTIF(AI10:AI15,"Orta Katı")</f>
        <v>0</v>
      </c>
    </row>
    <row r="309" spans="1:17">
      <c r="A309" t="s">
        <v>334</v>
      </c>
      <c r="B309">
        <f>COUNTIF(J30:J35,"ZD")</f>
        <v>0</v>
      </c>
      <c r="L309" t="s">
        <v>315</v>
      </c>
      <c r="M309">
        <f>COUNTIF(AI10:AI15,"Çok Katı")</f>
        <v>0</v>
      </c>
    </row>
    <row r="310" spans="1:17">
      <c r="A310" t="s">
        <v>562</v>
      </c>
      <c r="B310">
        <f>COUNTIF(J31:J36,"ZE")</f>
        <v>0</v>
      </c>
      <c r="L310" t="s">
        <v>445</v>
      </c>
      <c r="M310">
        <f>COUNTIF(AI10:AI15,"Yumuşak")</f>
        <v>0</v>
      </c>
    </row>
    <row r="311" spans="1:17">
      <c r="A311" t="s">
        <v>328</v>
      </c>
      <c r="B311">
        <f>COUNTIF(O19:O24,"A")</f>
        <v>0</v>
      </c>
    </row>
    <row r="312" spans="1:17">
      <c r="A312" t="s">
        <v>330</v>
      </c>
      <c r="B312">
        <f>COUNTIF(O19:O24,"B")</f>
        <v>0</v>
      </c>
    </row>
    <row r="313" spans="1:17">
      <c r="A313" t="s">
        <v>332</v>
      </c>
      <c r="B313">
        <f>COUNTIF(O19:O24,"C")</f>
        <v>0</v>
      </c>
    </row>
    <row r="314" spans="1:17">
      <c r="A314" t="s">
        <v>334</v>
      </c>
      <c r="B314">
        <f>COUNTIF(O19:O24,"D")</f>
        <v>0</v>
      </c>
    </row>
  </sheetData>
  <sheetProtection algorithmName="SHA-512" hashValue="0ednvxfl89tStsxsAbCgItYD5UMoLqh0pHTmCjiFXihzqqO2qLBTCjM9uX0X6rutbVC+4vTV+ljxNqOUA9tRUQ==" saltValue="z55+pKDM4kliOdIo4HUyGA==" spinCount="100000" sheet="1" objects="1" scenarios="1"/>
  <mergeCells count="293">
    <mergeCell ref="AL35:AM35"/>
    <mergeCell ref="AN35:AO35"/>
    <mergeCell ref="AL36:AM36"/>
    <mergeCell ref="AN36:AO36"/>
    <mergeCell ref="AL30:AM30"/>
    <mergeCell ref="AN30:AO30"/>
    <mergeCell ref="AL31:AM31"/>
    <mergeCell ref="AN31:AO31"/>
    <mergeCell ref="AL32:AM32"/>
    <mergeCell ref="AN32:AO32"/>
    <mergeCell ref="AL33:AM33"/>
    <mergeCell ref="AN33:AO33"/>
    <mergeCell ref="AL34:AM34"/>
    <mergeCell ref="AN34:AO34"/>
    <mergeCell ref="AK35:AK36"/>
    <mergeCell ref="AB37:AG37"/>
    <mergeCell ref="AI37:AJ37"/>
    <mergeCell ref="AA38:AA40"/>
    <mergeCell ref="AB38:AG40"/>
    <mergeCell ref="AH38:AH40"/>
    <mergeCell ref="AI38:AJ40"/>
    <mergeCell ref="AK38:AK40"/>
    <mergeCell ref="AA41:AA49"/>
    <mergeCell ref="AB41:AG49"/>
    <mergeCell ref="AH41:AH49"/>
    <mergeCell ref="AI41:AJ49"/>
    <mergeCell ref="AK41:AK49"/>
    <mergeCell ref="B51:C51"/>
    <mergeCell ref="D51:E51"/>
    <mergeCell ref="B52:C52"/>
    <mergeCell ref="D52:E52"/>
    <mergeCell ref="B46:E46"/>
    <mergeCell ref="B47:C47"/>
    <mergeCell ref="D47:E47"/>
    <mergeCell ref="B48:C48"/>
    <mergeCell ref="D48:E48"/>
    <mergeCell ref="B49:C49"/>
    <mergeCell ref="D49:E49"/>
    <mergeCell ref="B50:C50"/>
    <mergeCell ref="D50:E50"/>
    <mergeCell ref="D9:E9"/>
    <mergeCell ref="B9:C9"/>
    <mergeCell ref="B10:C10"/>
    <mergeCell ref="D10:E10"/>
    <mergeCell ref="F3:H4"/>
    <mergeCell ref="D3:E4"/>
    <mergeCell ref="B3:C4"/>
    <mergeCell ref="F5:H5"/>
    <mergeCell ref="F6:H6"/>
    <mergeCell ref="F7:H7"/>
    <mergeCell ref="F8:H8"/>
    <mergeCell ref="D5:E5"/>
    <mergeCell ref="D6:E6"/>
    <mergeCell ref="D7:E7"/>
    <mergeCell ref="D8:E8"/>
    <mergeCell ref="B5:C5"/>
    <mergeCell ref="B6:C6"/>
    <mergeCell ref="B7:C7"/>
    <mergeCell ref="B8:C8"/>
    <mergeCell ref="H19:I19"/>
    <mergeCell ref="F20:G20"/>
    <mergeCell ref="H20:I20"/>
    <mergeCell ref="T37:U37"/>
    <mergeCell ref="V37:W37"/>
    <mergeCell ref="S28:X28"/>
    <mergeCell ref="T29:W29"/>
    <mergeCell ref="T38:U38"/>
    <mergeCell ref="V38:W38"/>
    <mergeCell ref="O35:P35"/>
    <mergeCell ref="Q35:R35"/>
    <mergeCell ref="O36:P36"/>
    <mergeCell ref="Q36:R36"/>
    <mergeCell ref="T31:U31"/>
    <mergeCell ref="V31:W31"/>
    <mergeCell ref="T32:U32"/>
    <mergeCell ref="V32:W32"/>
    <mergeCell ref="T33:U33"/>
    <mergeCell ref="V33:W33"/>
    <mergeCell ref="T34:U34"/>
    <mergeCell ref="V34:W34"/>
    <mergeCell ref="T35:U35"/>
    <mergeCell ref="V35:W35"/>
    <mergeCell ref="N28:R28"/>
    <mergeCell ref="H32:I32"/>
    <mergeCell ref="J32:K32"/>
    <mergeCell ref="Q19:Q20"/>
    <mergeCell ref="R19:R20"/>
    <mergeCell ref="O31:P31"/>
    <mergeCell ref="Q31:R31"/>
    <mergeCell ref="B36:B39"/>
    <mergeCell ref="C36:D39"/>
    <mergeCell ref="E36:F39"/>
    <mergeCell ref="H33:I33"/>
    <mergeCell ref="J33:K33"/>
    <mergeCell ref="H34:I34"/>
    <mergeCell ref="J34:K34"/>
    <mergeCell ref="H35:I35"/>
    <mergeCell ref="J35:K35"/>
    <mergeCell ref="B34:B35"/>
    <mergeCell ref="C34:D35"/>
    <mergeCell ref="E34:F35"/>
    <mergeCell ref="B32:B33"/>
    <mergeCell ref="C32:D33"/>
    <mergeCell ref="E32:F33"/>
    <mergeCell ref="O32:P32"/>
    <mergeCell ref="D19:E19"/>
    <mergeCell ref="F19:G19"/>
    <mergeCell ref="M19:M20"/>
    <mergeCell ref="N19:N20"/>
    <mergeCell ref="O19:O20"/>
    <mergeCell ref="P19:P20"/>
    <mergeCell ref="M16:R18"/>
    <mergeCell ref="Q32:R32"/>
    <mergeCell ref="N33:N34"/>
    <mergeCell ref="O33:P34"/>
    <mergeCell ref="Q33:R34"/>
    <mergeCell ref="N29:R29"/>
    <mergeCell ref="O30:P30"/>
    <mergeCell ref="Q30:R30"/>
    <mergeCell ref="AA30:AK30"/>
    <mergeCell ref="C29:D29"/>
    <mergeCell ref="E29:F29"/>
    <mergeCell ref="B30:B31"/>
    <mergeCell ref="C30:D31"/>
    <mergeCell ref="E30:F31"/>
    <mergeCell ref="Z25:AA26"/>
    <mergeCell ref="D21:E21"/>
    <mergeCell ref="F21:G21"/>
    <mergeCell ref="H21:I21"/>
    <mergeCell ref="B28:F28"/>
    <mergeCell ref="H29:I29"/>
    <mergeCell ref="J29:K29"/>
    <mergeCell ref="H30:I30"/>
    <mergeCell ref="J30:K30"/>
    <mergeCell ref="H31:I31"/>
    <mergeCell ref="J31:K31"/>
    <mergeCell ref="Y10:Z10"/>
    <mergeCell ref="AA10:AB10"/>
    <mergeCell ref="AA31:AA32"/>
    <mergeCell ref="AG9:AH9"/>
    <mergeCell ref="AI9:AJ9"/>
    <mergeCell ref="AG10:AH10"/>
    <mergeCell ref="AI10:AJ10"/>
    <mergeCell ref="AG11:AH11"/>
    <mergeCell ref="AI11:AJ11"/>
    <mergeCell ref="AG12:AH12"/>
    <mergeCell ref="AI12:AJ12"/>
    <mergeCell ref="AG13:AH13"/>
    <mergeCell ref="AI13:AJ13"/>
    <mergeCell ref="AG14:AH14"/>
    <mergeCell ref="AI14:AJ14"/>
    <mergeCell ref="AG15:AH15"/>
    <mergeCell ref="AI15:AJ15"/>
    <mergeCell ref="AA15:AB15"/>
    <mergeCell ref="Y16:Z16"/>
    <mergeCell ref="AA16:AB16"/>
    <mergeCell ref="Y15:Z15"/>
    <mergeCell ref="Y11:Z11"/>
    <mergeCell ref="AA11:AB11"/>
    <mergeCell ref="Y12:Z12"/>
    <mergeCell ref="W3:AC3"/>
    <mergeCell ref="AG4:AH4"/>
    <mergeCell ref="AI4:AJ4"/>
    <mergeCell ref="AG5:AH5"/>
    <mergeCell ref="AI5:AJ5"/>
    <mergeCell ref="AG6:AH6"/>
    <mergeCell ref="AI6:AJ6"/>
    <mergeCell ref="AG7:AH7"/>
    <mergeCell ref="Y8:Z8"/>
    <mergeCell ref="AA8:AB8"/>
    <mergeCell ref="AI7:AJ7"/>
    <mergeCell ref="Y4:Z4"/>
    <mergeCell ref="AA4:AB4"/>
    <mergeCell ref="Y5:Z5"/>
    <mergeCell ref="AA5:AB5"/>
    <mergeCell ref="Y6:Z6"/>
    <mergeCell ref="AA6:AB6"/>
    <mergeCell ref="Y7:Z7"/>
    <mergeCell ref="AA7:AB7"/>
    <mergeCell ref="AA12:AB12"/>
    <mergeCell ref="A17:A18"/>
    <mergeCell ref="B17:B18"/>
    <mergeCell ref="C17:C18"/>
    <mergeCell ref="D17:E18"/>
    <mergeCell ref="F17:G18"/>
    <mergeCell ref="H17:I18"/>
    <mergeCell ref="L13:M13"/>
    <mergeCell ref="L12:P12"/>
    <mergeCell ref="L14:P14"/>
    <mergeCell ref="Q12:R12"/>
    <mergeCell ref="Q13:R13"/>
    <mergeCell ref="Q14:R14"/>
    <mergeCell ref="N13:P13"/>
    <mergeCell ref="S12:T12"/>
    <mergeCell ref="S13:T13"/>
    <mergeCell ref="S14:T14"/>
    <mergeCell ref="Y13:Z13"/>
    <mergeCell ref="AA13:AB13"/>
    <mergeCell ref="Y14:Z14"/>
    <mergeCell ref="AA14:AB14"/>
    <mergeCell ref="B16:I16"/>
    <mergeCell ref="S17:T17"/>
    <mergeCell ref="U17:AA17"/>
    <mergeCell ref="M2:T2"/>
    <mergeCell ref="M3:N4"/>
    <mergeCell ref="O3:P4"/>
    <mergeCell ref="Q3:R4"/>
    <mergeCell ref="S3:T4"/>
    <mergeCell ref="M5:N5"/>
    <mergeCell ref="O5:P5"/>
    <mergeCell ref="Q5:R5"/>
    <mergeCell ref="S5:T5"/>
    <mergeCell ref="I3:J4"/>
    <mergeCell ref="I5:J5"/>
    <mergeCell ref="I6:J6"/>
    <mergeCell ref="I7:J7"/>
    <mergeCell ref="I8:J8"/>
    <mergeCell ref="I9:J9"/>
    <mergeCell ref="I10:J10"/>
    <mergeCell ref="F9:H9"/>
    <mergeCell ref="F10:H10"/>
    <mergeCell ref="S9:T9"/>
    <mergeCell ref="M10:N10"/>
    <mergeCell ref="O10:P10"/>
    <mergeCell ref="S6:T6"/>
    <mergeCell ref="M7:N7"/>
    <mergeCell ref="O7:P7"/>
    <mergeCell ref="Q7:R7"/>
    <mergeCell ref="S7:T7"/>
    <mergeCell ref="D24:E24"/>
    <mergeCell ref="F24:G24"/>
    <mergeCell ref="H24:I24"/>
    <mergeCell ref="M6:N6"/>
    <mergeCell ref="O6:P6"/>
    <mergeCell ref="Q6:R6"/>
    <mergeCell ref="D22:E22"/>
    <mergeCell ref="F22:G22"/>
    <mergeCell ref="H22:I22"/>
    <mergeCell ref="D23:E23"/>
    <mergeCell ref="F23:G23"/>
    <mergeCell ref="H23:I23"/>
    <mergeCell ref="D20:E20"/>
    <mergeCell ref="Q10:R10"/>
    <mergeCell ref="S10:T10"/>
    <mergeCell ref="S18:S19"/>
    <mergeCell ref="AB51:AC51"/>
    <mergeCell ref="AF108:AF116"/>
    <mergeCell ref="AL42:AL43"/>
    <mergeCell ref="AM42:AM43"/>
    <mergeCell ref="AN42:AN43"/>
    <mergeCell ref="AO42:AO43"/>
    <mergeCell ref="U12:V12"/>
    <mergeCell ref="U14:V14"/>
    <mergeCell ref="U13:V13"/>
    <mergeCell ref="T36:U36"/>
    <mergeCell ref="V36:W36"/>
    <mergeCell ref="AB31:AG32"/>
    <mergeCell ref="AH31:AJ31"/>
    <mergeCell ref="AK31:AK32"/>
    <mergeCell ref="AI32:AJ32"/>
    <mergeCell ref="AB33:AG33"/>
    <mergeCell ref="AI33:AJ33"/>
    <mergeCell ref="AB34:AG34"/>
    <mergeCell ref="AI34:AJ34"/>
    <mergeCell ref="AA35:AA36"/>
    <mergeCell ref="AB35:AG36"/>
    <mergeCell ref="AH35:AH36"/>
    <mergeCell ref="AI35:AJ36"/>
    <mergeCell ref="T25:U26"/>
    <mergeCell ref="AN4:AW4"/>
    <mergeCell ref="AO24:AP24"/>
    <mergeCell ref="AO26:AP26"/>
    <mergeCell ref="AQ26:AS26"/>
    <mergeCell ref="N42:S44"/>
    <mergeCell ref="N45:N46"/>
    <mergeCell ref="O45:O46"/>
    <mergeCell ref="P45:P46"/>
    <mergeCell ref="Q45:Q46"/>
    <mergeCell ref="R45:R46"/>
    <mergeCell ref="S45:S46"/>
    <mergeCell ref="AQ42:AQ43"/>
    <mergeCell ref="AP42:AP43"/>
    <mergeCell ref="AL39:AQ41"/>
    <mergeCell ref="S25:S26"/>
    <mergeCell ref="V25:W26"/>
    <mergeCell ref="X25:Y26"/>
    <mergeCell ref="M8:N8"/>
    <mergeCell ref="O8:P8"/>
    <mergeCell ref="Q8:R8"/>
    <mergeCell ref="S8:T8"/>
    <mergeCell ref="M9:N9"/>
    <mergeCell ref="O9:P9"/>
    <mergeCell ref="Q9:R9"/>
  </mergeCells>
  <conditionalFormatting sqref="A5:J10 L5:T10 AG10:AJ15 Y11:AB16 L12:V14 B19:I24 H30:K35 T32:W38">
    <cfRule type="containsErrors" dxfId="286" priority="48">
      <formula>ISERROR(A5)</formula>
    </cfRule>
  </conditionalFormatting>
  <conditionalFormatting sqref="B47:S52">
    <cfRule type="containsErrors" dxfId="285" priority="62">
      <formula>ISERROR(B47)</formula>
    </cfRule>
  </conditionalFormatting>
  <conditionalFormatting sqref="D11:F12">
    <cfRule type="containsErrors" dxfId="284" priority="58">
      <formula>ISERROR(D11)</formula>
    </cfRule>
  </conditionalFormatting>
  <conditionalFormatting sqref="M21:P26">
    <cfRule type="containsErrors" dxfId="283" priority="59">
      <formula>ISERROR(M21)</formula>
    </cfRule>
  </conditionalFormatting>
  <conditionalFormatting sqref="R21:R26">
    <cfRule type="containsErrors" dxfId="282" priority="60">
      <formula>ISERROR(R21)</formula>
    </cfRule>
  </conditionalFormatting>
  <conditionalFormatting sqref="R47:R52">
    <cfRule type="cellIs" dxfId="281" priority="8" operator="equal">
      <formula>0</formula>
    </cfRule>
  </conditionalFormatting>
  <conditionalFormatting sqref="S14:T14">
    <cfRule type="containsText" dxfId="280" priority="15" operator="containsText" text="YANLIŞ">
      <formula>NOT(ISERROR(SEARCH("YANLIŞ",S14)))</formula>
    </cfRule>
  </conditionalFormatting>
  <conditionalFormatting sqref="AF52">
    <cfRule type="containsText" dxfId="279" priority="21" operator="containsText" text="YANLIŞ">
      <formula>NOT(ISERROR(SEARCH("YANLIŞ",AF52)))</formula>
    </cfRule>
    <cfRule type="containsErrors" dxfId="278" priority="22">
      <formula>ISERROR(AF52)</formula>
    </cfRule>
  </conditionalFormatting>
  <conditionalFormatting sqref="AL31:AO36">
    <cfRule type="containsErrors" dxfId="277" priority="25">
      <formula>ISERROR(AL31)</formula>
    </cfRule>
  </conditionalFormatting>
  <conditionalFormatting sqref="AL44:AO49">
    <cfRule type="containsErrors" dxfId="276" priority="18">
      <formula>ISERROR(AL44)</formula>
    </cfRule>
  </conditionalFormatting>
  <conditionalFormatting sqref="AQ26">
    <cfRule type="expression" dxfId="275" priority="6">
      <formula>$E$26&gt;1</formula>
    </cfRule>
    <cfRule type="expression" dxfId="274" priority="7">
      <formula>$E$26&lt;=1</formula>
    </cfRule>
  </conditionalFormatting>
  <conditionalFormatting sqref="AQ44:AQ49">
    <cfRule type="containsErrors" dxfId="273" priority="10">
      <formula>ISERROR(AQ44)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7" r:id="rId4" name="Drop Down 3">
              <controlPr locked="0" defaultSize="0" autoLine="0" autoPict="0">
                <anchor moveWithCells="1">
                  <from>
                    <xdr:col>27</xdr:col>
                    <xdr:colOff>228600</xdr:colOff>
                    <xdr:row>51</xdr:row>
                    <xdr:rowOff>19050</xdr:rowOff>
                  </from>
                  <to>
                    <xdr:col>28</xdr:col>
                    <xdr:colOff>514350</xdr:colOff>
                    <xdr:row>52</xdr:row>
                    <xdr:rowOff>0</xdr:rowOff>
                  </to>
                </anchor>
              </controlPr>
            </control>
          </mc:Choice>
        </mc:AlternateContent>
        <mc:AlternateContent xmlns:mc="http://schemas.openxmlformats.org/markup-compatibility/2006">
          <mc:Choice Requires="x14">
            <control shapeId="21508" r:id="rId5" name="Drop Down 4">
              <controlPr locked="0" defaultSize="0" autoLine="0" autoPict="0">
                <anchor moveWithCells="1">
                  <from>
                    <xdr:col>29</xdr:col>
                    <xdr:colOff>95250</xdr:colOff>
                    <xdr:row>51</xdr:row>
                    <xdr:rowOff>19050</xdr:rowOff>
                  </from>
                  <to>
                    <xdr:col>30</xdr:col>
                    <xdr:colOff>381000</xdr:colOff>
                    <xdr:row>52</xdr:row>
                    <xdr:rowOff>0</xdr:rowOff>
                  </to>
                </anchor>
              </controlPr>
            </control>
          </mc:Choice>
        </mc:AlternateContent>
        <mc:AlternateContent xmlns:mc="http://schemas.openxmlformats.org/markup-compatibility/2006">
          <mc:Choice Requires="x14">
            <control shapeId="21511" r:id="rId6" name="Drop Down 7">
              <controlPr locked="0" defaultSize="0" autoLine="0" autoPict="0">
                <anchor moveWithCells="1">
                  <from>
                    <xdr:col>27</xdr:col>
                    <xdr:colOff>228600</xdr:colOff>
                    <xdr:row>51</xdr:row>
                    <xdr:rowOff>19050</xdr:rowOff>
                  </from>
                  <to>
                    <xdr:col>28</xdr:col>
                    <xdr:colOff>514350</xdr:colOff>
                    <xdr:row>51</xdr:row>
                    <xdr:rowOff>200025</xdr:rowOff>
                  </to>
                </anchor>
              </controlPr>
            </control>
          </mc:Choice>
        </mc:AlternateContent>
        <mc:AlternateContent xmlns:mc="http://schemas.openxmlformats.org/markup-compatibility/2006">
          <mc:Choice Requires="x14">
            <control shapeId="21512" r:id="rId7" name="Drop Down 8">
              <controlPr locked="0" defaultSize="0" autoLine="0" autoPict="0">
                <anchor moveWithCells="1">
                  <from>
                    <xdr:col>29</xdr:col>
                    <xdr:colOff>95250</xdr:colOff>
                    <xdr:row>51</xdr:row>
                    <xdr:rowOff>19050</xdr:rowOff>
                  </from>
                  <to>
                    <xdr:col>30</xdr:col>
                    <xdr:colOff>381000</xdr:colOff>
                    <xdr:row>51</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A1:Q304"/>
  <sheetViews>
    <sheetView showGridLines="0" showRowColHeaders="0" workbookViewId="0">
      <selection activeCell="H29" sqref="H29"/>
    </sheetView>
  </sheetViews>
  <sheetFormatPr defaultRowHeight="15"/>
  <cols>
    <col min="2" max="2" width="9.140625" customWidth="1"/>
    <col min="3" max="4" width="15.7109375" customWidth="1"/>
    <col min="5" max="7" width="21.7109375" customWidth="1"/>
    <col min="10" max="10" width="9.140625" customWidth="1"/>
    <col min="11" max="12" width="9.140625" hidden="1" customWidth="1"/>
    <col min="17" max="17" width="9.140625" hidden="1" customWidth="1"/>
  </cols>
  <sheetData>
    <row r="1" spans="2:17">
      <c r="B1" s="138"/>
      <c r="C1" s="1021" t="s">
        <v>27</v>
      </c>
      <c r="D1" s="1021"/>
      <c r="E1" s="1021"/>
      <c r="F1" s="1021"/>
      <c r="G1" s="1021"/>
      <c r="H1" s="1021"/>
    </row>
    <row r="2" spans="2:17">
      <c r="B2" s="138"/>
      <c r="C2" s="1021"/>
      <c r="D2" s="1021"/>
      <c r="E2" s="1021"/>
      <c r="F2" s="1021"/>
      <c r="G2" s="1021"/>
      <c r="H2" s="1021"/>
    </row>
    <row r="3" spans="2:17" ht="45">
      <c r="B3" s="548" t="s">
        <v>661</v>
      </c>
      <c r="C3" s="549" t="s">
        <v>41</v>
      </c>
      <c r="D3" s="549" t="s">
        <v>188</v>
      </c>
      <c r="E3" s="549" t="s">
        <v>64</v>
      </c>
      <c r="F3" s="549" t="s">
        <v>54</v>
      </c>
      <c r="G3" s="880" t="s">
        <v>55</v>
      </c>
      <c r="H3" s="880"/>
      <c r="Q3">
        <f>COUNTIF(Q4:Q9,"&gt;0")</f>
        <v>0</v>
      </c>
    </row>
    <row r="4" spans="2:17" ht="15" customHeight="1">
      <c r="B4" s="1004" t="s">
        <v>46</v>
      </c>
      <c r="C4" s="710" t="s">
        <v>44</v>
      </c>
      <c r="D4" s="778" t="str">
        <f>IF(ISERROR( Sismik!C13),"", Sismik!C13)</f>
        <v/>
      </c>
      <c r="E4" s="751" t="str">
        <f>Sismik!I16</f>
        <v/>
      </c>
      <c r="F4" s="752">
        <f>'P dalga Hızı'!F4</f>
        <v>0</v>
      </c>
      <c r="G4" s="1022">
        <f>Sismik!AB7</f>
        <v>0</v>
      </c>
      <c r="H4" s="1023"/>
      <c r="K4" s="46" t="str">
        <f>IF(D4=0,"100000",D4)</f>
        <v/>
      </c>
      <c r="L4" s="46" t="str">
        <f>IF(D5=0,"100000",D5)</f>
        <v/>
      </c>
      <c r="Q4" s="46" t="str">
        <f>D5</f>
        <v/>
      </c>
    </row>
    <row r="5" spans="2:17" ht="15" customHeight="1">
      <c r="B5" s="1005"/>
      <c r="C5" s="711" t="s">
        <v>45</v>
      </c>
      <c r="D5" s="779" t="str">
        <f>IF(ISERROR( Sismik!D13),"", Sismik!D13)</f>
        <v/>
      </c>
      <c r="E5" s="754" t="str">
        <f>Sismik!K16</f>
        <v/>
      </c>
      <c r="F5" s="755">
        <f>'P dalga Hızı'!F5</f>
        <v>0</v>
      </c>
      <c r="G5" s="1011"/>
      <c r="H5" s="1012"/>
      <c r="K5" s="46" t="str">
        <f>IF(D6=0,"100000",D6)</f>
        <v/>
      </c>
      <c r="L5" s="46" t="str">
        <f>IF(D7=0,"100000",D7)</f>
        <v/>
      </c>
      <c r="Q5" s="46" t="str">
        <f>D7</f>
        <v/>
      </c>
    </row>
    <row r="6" spans="2:17" ht="15" customHeight="1">
      <c r="B6" s="1006" t="s">
        <v>47</v>
      </c>
      <c r="C6" s="711" t="s">
        <v>44</v>
      </c>
      <c r="D6" s="779" t="str">
        <f>IF(ISERROR( Sismik!C40),"", Sismik!C40)</f>
        <v/>
      </c>
      <c r="E6" s="754" t="str">
        <f>Sismik!I43</f>
        <v/>
      </c>
      <c r="F6" s="755">
        <f>'P dalga Hızı'!F6</f>
        <v>0</v>
      </c>
      <c r="G6" s="1009">
        <f>Sismik!AB9</f>
        <v>0</v>
      </c>
      <c r="H6" s="1010"/>
      <c r="K6" s="46" t="str">
        <f>IF(D8=0,"100000",D8)</f>
        <v/>
      </c>
      <c r="L6" s="46" t="str">
        <f>IF(D9=0,"100000",D9)</f>
        <v/>
      </c>
      <c r="Q6" s="46" t="str">
        <f>D9</f>
        <v/>
      </c>
    </row>
    <row r="7" spans="2:17" ht="15" customHeight="1">
      <c r="B7" s="1005"/>
      <c r="C7" s="711" t="s">
        <v>45</v>
      </c>
      <c r="D7" s="779" t="str">
        <f>IF(ISERROR( Sismik!D40),"", Sismik!D40)</f>
        <v/>
      </c>
      <c r="E7" s="754" t="str">
        <f>Sismik!K43</f>
        <v/>
      </c>
      <c r="F7" s="755">
        <f>'P dalga Hızı'!F7</f>
        <v>0</v>
      </c>
      <c r="G7" s="1011"/>
      <c r="H7" s="1012"/>
      <c r="K7" s="46" t="str">
        <f>IF(D10=0,"100000",D10)</f>
        <v/>
      </c>
      <c r="L7" s="46" t="str">
        <f>IF(D11=0,"100000",D11)</f>
        <v/>
      </c>
      <c r="Q7" s="46" t="str">
        <f>D11</f>
        <v/>
      </c>
    </row>
    <row r="8" spans="2:17" ht="15" customHeight="1">
      <c r="B8" s="1006" t="s">
        <v>48</v>
      </c>
      <c r="C8" s="711" t="s">
        <v>44</v>
      </c>
      <c r="D8" s="779" t="str">
        <f>IF(ISERROR( Sismik!C66),"", Sismik!C66)</f>
        <v/>
      </c>
      <c r="E8" s="754" t="str">
        <f>Sismik!I69</f>
        <v/>
      </c>
      <c r="F8" s="755">
        <f>'P dalga Hızı'!F8</f>
        <v>0</v>
      </c>
      <c r="G8" s="1009">
        <f>Sismik!AB11</f>
        <v>0</v>
      </c>
      <c r="H8" s="1010"/>
      <c r="K8" s="46" t="str">
        <f>IF(D12=0,"100000",D12)</f>
        <v/>
      </c>
      <c r="L8" s="46" t="str">
        <f>IF(D13=0,"100000",D13)</f>
        <v/>
      </c>
      <c r="Q8" s="46" t="str">
        <f>D13</f>
        <v/>
      </c>
    </row>
    <row r="9" spans="2:17" ht="15" customHeight="1">
      <c r="B9" s="1005"/>
      <c r="C9" s="711" t="s">
        <v>45</v>
      </c>
      <c r="D9" s="779" t="str">
        <f>IF(ISERROR( Sismik!D66),"", Sismik!D66)</f>
        <v/>
      </c>
      <c r="E9" s="754" t="str">
        <f>Sismik!K69</f>
        <v/>
      </c>
      <c r="F9" s="755">
        <f>'P dalga Hızı'!F9</f>
        <v>0</v>
      </c>
      <c r="G9" s="1011"/>
      <c r="H9" s="1012"/>
      <c r="K9" s="46" t="str">
        <f>IF(D14=0,"100000",D14)</f>
        <v/>
      </c>
      <c r="L9" s="46" t="str">
        <f>IF(D15=0,"100000",D15)</f>
        <v/>
      </c>
      <c r="Q9" s="46" t="str">
        <f>D15</f>
        <v/>
      </c>
    </row>
    <row r="10" spans="2:17" ht="15" customHeight="1">
      <c r="B10" s="1006" t="s">
        <v>49</v>
      </c>
      <c r="C10" s="711" t="s">
        <v>44</v>
      </c>
      <c r="D10" s="779" t="str">
        <f>IF(ISERROR( Sismik!C92),"", Sismik!C92)</f>
        <v/>
      </c>
      <c r="E10" s="754" t="str">
        <f>Sismik!I95</f>
        <v/>
      </c>
      <c r="F10" s="755">
        <f>'P dalga Hızı'!F10</f>
        <v>0</v>
      </c>
      <c r="G10" s="1009">
        <f>Sismik!AB13</f>
        <v>0</v>
      </c>
      <c r="H10" s="1010"/>
      <c r="Q10" s="46">
        <f>SUM(Q4:Q9)</f>
        <v>0</v>
      </c>
    </row>
    <row r="11" spans="2:17" ht="15" customHeight="1">
      <c r="B11" s="1005"/>
      <c r="C11" s="711" t="s">
        <v>45</v>
      </c>
      <c r="D11" s="779" t="str">
        <f>IF(ISERROR( Sismik!D92),"", Sismik!D92)</f>
        <v/>
      </c>
      <c r="E11" s="754" t="str">
        <f>Sismik!K95</f>
        <v/>
      </c>
      <c r="F11" s="755">
        <f>'P dalga Hızı'!F11</f>
        <v>0</v>
      </c>
      <c r="G11" s="1011"/>
      <c r="H11" s="1012"/>
    </row>
    <row r="12" spans="2:17" ht="15" customHeight="1">
      <c r="B12" s="1006" t="s">
        <v>50</v>
      </c>
      <c r="C12" s="711" t="s">
        <v>44</v>
      </c>
      <c r="D12" s="779" t="str">
        <f>IF(ISERROR( Sismik!C118),"", Sismik!C118)</f>
        <v/>
      </c>
      <c r="E12" s="754" t="str">
        <f>Sismik!I121</f>
        <v/>
      </c>
      <c r="F12" s="755">
        <f>'P dalga Hızı'!F12</f>
        <v>0</v>
      </c>
      <c r="G12" s="1009">
        <f>Sismik!AB15</f>
        <v>0</v>
      </c>
      <c r="H12" s="1010"/>
    </row>
    <row r="13" spans="2:17" ht="15" customHeight="1">
      <c r="B13" s="1005"/>
      <c r="C13" s="711" t="s">
        <v>45</v>
      </c>
      <c r="D13" s="779" t="str">
        <f>IF(ISERROR( Sismik!D118),"", Sismik!D118)</f>
        <v/>
      </c>
      <c r="E13" s="754" t="str">
        <f>Sismik!K121</f>
        <v/>
      </c>
      <c r="F13" s="755">
        <f>'P dalga Hızı'!F13</f>
        <v>0</v>
      </c>
      <c r="G13" s="1011"/>
      <c r="H13" s="1012"/>
    </row>
    <row r="14" spans="2:17" ht="15" customHeight="1">
      <c r="B14" s="1004" t="s">
        <v>51</v>
      </c>
      <c r="C14" s="710" t="s">
        <v>44</v>
      </c>
      <c r="D14" s="753" t="str">
        <f>IF(ISERROR( Sismik!C144),"", Sismik!C144)</f>
        <v/>
      </c>
      <c r="E14" s="751" t="str">
        <f>Sismik!I147</f>
        <v/>
      </c>
      <c r="F14" s="755">
        <f>'P dalga Hızı'!F14</f>
        <v>0</v>
      </c>
      <c r="G14" s="1009">
        <f>Sismik!AB17</f>
        <v>0</v>
      </c>
      <c r="H14" s="1010"/>
    </row>
    <row r="15" spans="2:17" ht="15" customHeight="1">
      <c r="B15" s="1005"/>
      <c r="C15" s="711" t="s">
        <v>45</v>
      </c>
      <c r="D15" s="780" t="str">
        <f>IF(ISERROR( Sismik!D144),"", Sismik!D144)</f>
        <v/>
      </c>
      <c r="E15" s="754" t="str">
        <f>Sismik!K147</f>
        <v/>
      </c>
      <c r="F15" s="781">
        <f>'P dalga Hızı'!F15</f>
        <v>0</v>
      </c>
      <c r="G15" s="1011"/>
      <c r="H15" s="1012"/>
    </row>
    <row r="17" spans="2:9">
      <c r="B17" s="1107" t="s">
        <v>138</v>
      </c>
      <c r="C17" s="1319"/>
      <c r="D17" s="166">
        <f>MIN(K4:K9)</f>
        <v>0</v>
      </c>
      <c r="E17" s="166">
        <f>MAX(K4:K9)</f>
        <v>0</v>
      </c>
      <c r="F17" s="178" t="str">
        <f>IF(AND(D17&gt;1000,D17&lt;5000),"Zayıf",IF(AND(D17&gt;5001,D17&lt;10000),"Orta",IF(AND(D17&gt;10001,D17&lt;30000),"Sağlam",IF(AND(D17&lt;1000,D17&gt;=1),"Çok Zayıf",IF(D17&gt;30000,"Çok Sağlam",IF(D17=0,""))))))</f>
        <v/>
      </c>
      <c r="G17" s="178" t="str">
        <f>IF(AND(E17&gt;1000,E17&lt;5000),"Zayıf",IF(AND(E17&gt;5001,E17&lt;10000),"Orta",IF(AND(E17&gt;10001,E17&lt;30000),"Sağlam",IF(AND(E17&lt;1000,E17&gt;=1),"Çok Zayıf",IF(E17&gt;30000,"Çok Sağlam",IF(E17=0,""))))))</f>
        <v/>
      </c>
      <c r="H17" s="3" t="s">
        <v>133</v>
      </c>
      <c r="I17" s="3"/>
    </row>
    <row r="18" spans="2:9">
      <c r="B18" s="1107" t="s">
        <v>139</v>
      </c>
      <c r="C18" s="1319"/>
      <c r="D18" s="166">
        <f>MIN(L4:L9)</f>
        <v>0</v>
      </c>
      <c r="E18" s="166">
        <f>MAX(L4:L9)</f>
        <v>0</v>
      </c>
      <c r="F18" s="178" t="str">
        <f>IF(AND(D18&gt;1000,D18&lt;5000),"Zayıf",IF(AND(D18&gt;5001,D18&lt;10000),"Orta",IF(AND(D18&gt;10001,D18&lt;30000),"Sağlam",IF(AND(D18&lt;1000,D18&gt;=1),"Çok Zayıf",IF(D18&gt;30000,"Çok Sağlam",IF(D18=0,""))))))</f>
        <v/>
      </c>
      <c r="G18" s="178" t="str">
        <f>IF(AND(E18&gt;1000,E18&lt;5000),"Zayıf",IF(AND(E18&gt;5001,E18&lt;10000),"Orta",IF(AND(E18&gt;10001,E18&lt;30000),"Sağlam",IF(AND(E18&lt;1000,E18&gt;=1),"Çok Zayıf",IF(E18&gt;30000,"Çok Sağlam",IF(E18=0,""))))))</f>
        <v/>
      </c>
      <c r="H18" s="3" t="s">
        <v>133</v>
      </c>
      <c r="I18" s="3"/>
    </row>
    <row r="22" spans="2:9">
      <c r="B22" s="67"/>
      <c r="C22" s="67"/>
      <c r="D22" s="67"/>
      <c r="E22" s="67"/>
      <c r="F22" s="67"/>
    </row>
    <row r="23" spans="2:9">
      <c r="C23" s="273" t="s">
        <v>380</v>
      </c>
      <c r="D23" s="274"/>
      <c r="E23" s="274"/>
      <c r="F23" s="275"/>
    </row>
    <row r="24" spans="2:9">
      <c r="C24" s="1317" t="e">
        <f>Q10/Q3</f>
        <v>#DIV/0!</v>
      </c>
      <c r="D24" s="1318" t="e">
        <f t="shared" ref="D24" si="0">N12/N5</f>
        <v>#DIV/0!</v>
      </c>
      <c r="E24" s="863" t="str">
        <f>IF(ISERROR( IF(AND(C24&gt;1000,C24&lt;5000),"Zayıf",IF(AND(C24&gt;5001,C24&lt;10000),"Orta",IF(AND(C24&gt;10001,C24&lt;30000),"Sağlam",IF(C24&lt;1000,"Çok Zayıf",IF(C24&gt;30000,"Çok Sağlam")))))),"", IF(AND(C24&gt;1000,C24&lt;5000),"Zayıf",IF(AND(C24&gt;5001,C24&lt;10000),"Orta",IF(AND(C24&gt;10001,C24&lt;30000),"Sağlam",IF(C24&lt;1000,"Çok Zayıf",IF(C24&gt;30000,"Çok Sağlam"))))))</f>
        <v/>
      </c>
      <c r="F24" s="872"/>
    </row>
    <row r="27" spans="2:9">
      <c r="C27" s="1028"/>
      <c r="D27" s="1028"/>
      <c r="E27" s="3"/>
    </row>
    <row r="28" spans="2:9">
      <c r="C28" s="157"/>
      <c r="D28" s="157"/>
      <c r="E28" s="3"/>
    </row>
    <row r="29" spans="2:9">
      <c r="C29" s="256"/>
      <c r="D29" s="257"/>
      <c r="E29" s="3"/>
    </row>
    <row r="30" spans="2:9">
      <c r="C30" s="256"/>
      <c r="D30" s="257"/>
      <c r="E30" s="3"/>
    </row>
    <row r="31" spans="2:9">
      <c r="C31" s="256"/>
      <c r="D31" s="257"/>
      <c r="E31" s="3"/>
    </row>
    <row r="32" spans="2:9">
      <c r="C32" s="256"/>
      <c r="D32" s="257"/>
      <c r="E32" s="3"/>
    </row>
    <row r="33" spans="3:6" ht="15.75" thickBot="1">
      <c r="C33" s="3"/>
      <c r="D33" s="3"/>
      <c r="E33" s="3"/>
    </row>
    <row r="34" spans="3:6" ht="15.75" thickBot="1">
      <c r="C34" s="240" t="s">
        <v>420</v>
      </c>
      <c r="D34" s="241" t="e">
        <f>C24</f>
        <v>#DIV/0!</v>
      </c>
      <c r="E34" s="258"/>
      <c r="F34" s="239"/>
    </row>
    <row r="300" spans="1:2">
      <c r="A300" t="s">
        <v>428</v>
      </c>
      <c r="B300">
        <f>COUNTIF(E4:E15,"Zayıf")</f>
        <v>0</v>
      </c>
    </row>
    <row r="301" spans="1:2">
      <c r="A301" t="s">
        <v>425</v>
      </c>
      <c r="B301">
        <f>COUNTIF(E4:E15,"Orta")</f>
        <v>0</v>
      </c>
    </row>
    <row r="302" spans="1:2">
      <c r="A302" t="s">
        <v>429</v>
      </c>
      <c r="B302">
        <f>COUNTIF(E4:E15,"Sağlam")</f>
        <v>0</v>
      </c>
    </row>
    <row r="303" spans="1:2">
      <c r="A303" t="s">
        <v>430</v>
      </c>
      <c r="B303">
        <f>COUNTIF(E4:E15,"Çok Zayıf")</f>
        <v>0</v>
      </c>
    </row>
    <row r="304" spans="1:2">
      <c r="A304" t="s">
        <v>431</v>
      </c>
      <c r="B304">
        <f>COUNTIF(E4:E15,"Çok Sağlam")</f>
        <v>0</v>
      </c>
    </row>
  </sheetData>
  <sheetProtection algorithmName="SHA-512" hashValue="oCKhg+eKarp3+qUiNDnQSalma1q1XWE9wGhPlvmtxsvPQF81Buv6SpFPvMeXOJ1BD5a7FTHV1vB5KabosuoniQ==" saltValue="kP5UNvYOnzqTmP624IowVw==" spinCount="100000" sheet="1" objects="1" scenarios="1"/>
  <mergeCells count="19">
    <mergeCell ref="C1:H2"/>
    <mergeCell ref="G3:H3"/>
    <mergeCell ref="G4:H5"/>
    <mergeCell ref="G6:H7"/>
    <mergeCell ref="B4:B5"/>
    <mergeCell ref="B6:B7"/>
    <mergeCell ref="B8:B9"/>
    <mergeCell ref="B10:B11"/>
    <mergeCell ref="B12:B13"/>
    <mergeCell ref="G8:H9"/>
    <mergeCell ref="G10:H11"/>
    <mergeCell ref="G12:H13"/>
    <mergeCell ref="G14:H15"/>
    <mergeCell ref="C27:D27"/>
    <mergeCell ref="C24:D24"/>
    <mergeCell ref="E24:F24"/>
    <mergeCell ref="B17:C17"/>
    <mergeCell ref="B18:C18"/>
    <mergeCell ref="B14:B15"/>
  </mergeCells>
  <conditionalFormatting sqref="B4:F15">
    <cfRule type="containsErrors" dxfId="272" priority="7">
      <formula>ISERROR(B4)</formula>
    </cfRule>
  </conditionalFormatting>
  <conditionalFormatting sqref="C24:D24">
    <cfRule type="containsErrors" dxfId="271" priority="9">
      <formula>ISERROR(C24)</formula>
    </cfRule>
  </conditionalFormatting>
  <conditionalFormatting sqref="D34:F34">
    <cfRule type="containsErrors" dxfId="270" priority="1">
      <formula>ISERROR(D34)</formula>
    </cfRule>
  </conditionalFormatting>
  <conditionalFormatting sqref="D17:G18">
    <cfRule type="containsErrors" dxfId="269" priority="6">
      <formula>ISERROR(D17)</formula>
    </cfRule>
  </conditionalFormatting>
  <conditionalFormatting sqref="E34">
    <cfRule type="expression" dxfId="268" priority="2">
      <formula>$D$34=0</formula>
    </cfRule>
  </conditionalFormatting>
  <conditionalFormatting sqref="F34">
    <cfRule type="expression" dxfId="267" priority="4">
      <formula>$C$44=0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dimension ref="A1:Q305"/>
  <sheetViews>
    <sheetView showGridLines="0" showRowColHeaders="0" workbookViewId="0">
      <selection activeCell="M28" sqref="M28"/>
    </sheetView>
  </sheetViews>
  <sheetFormatPr defaultRowHeight="15"/>
  <cols>
    <col min="2" max="2" width="9.140625" customWidth="1"/>
    <col min="3" max="4" width="15.7109375" customWidth="1"/>
    <col min="5" max="7" width="21.7109375" customWidth="1"/>
    <col min="11" max="11" width="9.140625" hidden="1" customWidth="1"/>
    <col min="12" max="12" width="0" hidden="1" customWidth="1"/>
    <col min="17" max="17" width="0" hidden="1" customWidth="1"/>
  </cols>
  <sheetData>
    <row r="1" spans="2:17">
      <c r="B1" s="138"/>
      <c r="C1" s="1021" t="s">
        <v>26</v>
      </c>
      <c r="D1" s="1021"/>
      <c r="E1" s="1021"/>
      <c r="F1" s="1021"/>
      <c r="G1" s="1021"/>
      <c r="H1" s="1021"/>
    </row>
    <row r="2" spans="2:17">
      <c r="B2" s="138"/>
      <c r="C2" s="1021"/>
      <c r="D2" s="1021"/>
      <c r="E2" s="1021"/>
      <c r="F2" s="1021"/>
      <c r="G2" s="1021"/>
      <c r="H2" s="1021"/>
    </row>
    <row r="3" spans="2:17" ht="31.5">
      <c r="B3" s="548" t="s">
        <v>661</v>
      </c>
      <c r="C3" s="549" t="s">
        <v>41</v>
      </c>
      <c r="D3" s="549" t="s">
        <v>187</v>
      </c>
      <c r="E3" s="549" t="s">
        <v>63</v>
      </c>
      <c r="F3" s="549" t="s">
        <v>54</v>
      </c>
      <c r="G3" s="880" t="s">
        <v>55</v>
      </c>
      <c r="H3" s="880"/>
      <c r="Q3">
        <f>COUNTIF(Q4:Q9,"&gt;0")</f>
        <v>0</v>
      </c>
    </row>
    <row r="4" spans="2:17" ht="15" customHeight="1">
      <c r="B4" s="1004" t="s">
        <v>46</v>
      </c>
      <c r="C4" s="712" t="s">
        <v>44</v>
      </c>
      <c r="D4" s="750">
        <f>Sismik!C12</f>
        <v>0</v>
      </c>
      <c r="E4" s="751" t="str">
        <f>Sismik!I14</f>
        <v xml:space="preserve"> </v>
      </c>
      <c r="F4" s="752">
        <f>'P dalga Hızı'!F4</f>
        <v>0</v>
      </c>
      <c r="G4" s="1022">
        <f>Sismik!AB7</f>
        <v>0</v>
      </c>
      <c r="H4" s="1023"/>
      <c r="K4" s="47" t="str">
        <f>IF(D4=0,"100000",D4)</f>
        <v>100000</v>
      </c>
      <c r="L4" s="47" t="str">
        <f>IF(D5=0,"100000",D5)</f>
        <v>100000</v>
      </c>
      <c r="Q4" s="43">
        <f>D5</f>
        <v>0</v>
      </c>
    </row>
    <row r="5" spans="2:17" ht="15" customHeight="1">
      <c r="B5" s="1005"/>
      <c r="C5" s="713" t="s">
        <v>45</v>
      </c>
      <c r="D5" s="753">
        <f>Sismik!D12</f>
        <v>0</v>
      </c>
      <c r="E5" s="754" t="str">
        <f>Sismik!K14</f>
        <v xml:space="preserve"> </v>
      </c>
      <c r="F5" s="755">
        <f>'P dalga Hızı'!F5</f>
        <v>0</v>
      </c>
      <c r="G5" s="1011"/>
      <c r="H5" s="1012"/>
      <c r="K5" s="47" t="str">
        <f>IF(D6=0,"100000",D6)</f>
        <v>100000</v>
      </c>
      <c r="L5" s="47" t="str">
        <f>IF(D7=0,"100000",D7)</f>
        <v>100000</v>
      </c>
      <c r="Q5" s="43">
        <f>D7</f>
        <v>0</v>
      </c>
    </row>
    <row r="6" spans="2:17" ht="15" customHeight="1">
      <c r="B6" s="1006" t="s">
        <v>47</v>
      </c>
      <c r="C6" s="713" t="s">
        <v>44</v>
      </c>
      <c r="D6" s="753">
        <f>Sismik!C39</f>
        <v>0</v>
      </c>
      <c r="E6" s="754" t="str">
        <f>Sismik!I41</f>
        <v xml:space="preserve"> </v>
      </c>
      <c r="F6" s="755">
        <f>'P dalga Hızı'!F6</f>
        <v>0</v>
      </c>
      <c r="G6" s="1009">
        <f>Sismik!AB9</f>
        <v>0</v>
      </c>
      <c r="H6" s="1010"/>
      <c r="K6" s="47" t="str">
        <f>IF(D8=0,"100000",D8)</f>
        <v>100000</v>
      </c>
      <c r="L6" s="47" t="str">
        <f>IF(D9=0,"100000",D9)</f>
        <v>100000</v>
      </c>
      <c r="Q6" s="43">
        <f>D9</f>
        <v>0</v>
      </c>
    </row>
    <row r="7" spans="2:17" ht="15" customHeight="1">
      <c r="B7" s="1005"/>
      <c r="C7" s="713" t="s">
        <v>45</v>
      </c>
      <c r="D7" s="753">
        <f>Sismik!D39</f>
        <v>0</v>
      </c>
      <c r="E7" s="754" t="str">
        <f>Sismik!K41</f>
        <v xml:space="preserve"> </v>
      </c>
      <c r="F7" s="755">
        <f>'P dalga Hızı'!F7</f>
        <v>0</v>
      </c>
      <c r="G7" s="1011"/>
      <c r="H7" s="1012"/>
      <c r="K7" s="47" t="str">
        <f>IF(D10=0,"100000",D10)</f>
        <v>100000</v>
      </c>
      <c r="L7" s="47" t="str">
        <f>IF(D11=0,"100000",D11)</f>
        <v>100000</v>
      </c>
      <c r="Q7" s="43">
        <f>D11</f>
        <v>0</v>
      </c>
    </row>
    <row r="8" spans="2:17" ht="15" customHeight="1">
      <c r="B8" s="1006" t="s">
        <v>48</v>
      </c>
      <c r="C8" s="713" t="s">
        <v>44</v>
      </c>
      <c r="D8" s="753">
        <f>Sismik!C65</f>
        <v>0</v>
      </c>
      <c r="E8" s="754" t="str">
        <f>Sismik!I67</f>
        <v xml:space="preserve"> </v>
      </c>
      <c r="F8" s="755">
        <f>'P dalga Hızı'!F8</f>
        <v>0</v>
      </c>
      <c r="G8" s="1009">
        <f>Sismik!AB11</f>
        <v>0</v>
      </c>
      <c r="H8" s="1010"/>
      <c r="K8" s="47" t="str">
        <f>IF(D12=0,"100000",D12)</f>
        <v>100000</v>
      </c>
      <c r="L8" s="47" t="str">
        <f>IF(D13=0,"100000",D13)</f>
        <v>100000</v>
      </c>
      <c r="Q8" s="43">
        <f>D13</f>
        <v>0</v>
      </c>
    </row>
    <row r="9" spans="2:17" ht="15" customHeight="1">
      <c r="B9" s="1005"/>
      <c r="C9" s="713" t="s">
        <v>45</v>
      </c>
      <c r="D9" s="753">
        <f>Sismik!D65</f>
        <v>0</v>
      </c>
      <c r="E9" s="754" t="str">
        <f>Sismik!K67</f>
        <v xml:space="preserve"> </v>
      </c>
      <c r="F9" s="755">
        <f>'P dalga Hızı'!F9</f>
        <v>0</v>
      </c>
      <c r="G9" s="1011"/>
      <c r="H9" s="1012"/>
      <c r="K9" s="47" t="str">
        <f>IF(D14=0,"100000",D14)</f>
        <v>100000</v>
      </c>
      <c r="L9" s="47" t="str">
        <f>IF(D15=0,"100000",D15)</f>
        <v>100000</v>
      </c>
      <c r="Q9" s="43">
        <f>D15</f>
        <v>0</v>
      </c>
    </row>
    <row r="10" spans="2:17" ht="15" customHeight="1">
      <c r="B10" s="1006" t="s">
        <v>49</v>
      </c>
      <c r="C10" s="713" t="s">
        <v>44</v>
      </c>
      <c r="D10" s="753">
        <f>Sismik!C91</f>
        <v>0</v>
      </c>
      <c r="E10" s="754" t="str">
        <f>Sismik!I93</f>
        <v xml:space="preserve"> </v>
      </c>
      <c r="F10" s="755">
        <f>'P dalga Hızı'!F10</f>
        <v>0</v>
      </c>
      <c r="G10" s="1009">
        <f>Sismik!AB13</f>
        <v>0</v>
      </c>
      <c r="H10" s="1010"/>
      <c r="Q10" s="43">
        <f>SUM(Q4:Q9)</f>
        <v>0</v>
      </c>
    </row>
    <row r="11" spans="2:17" ht="15" customHeight="1">
      <c r="B11" s="1005"/>
      <c r="C11" s="713" t="s">
        <v>45</v>
      </c>
      <c r="D11" s="753">
        <f>Sismik!D91</f>
        <v>0</v>
      </c>
      <c r="E11" s="754" t="str">
        <f>Sismik!K93</f>
        <v xml:space="preserve"> </v>
      </c>
      <c r="F11" s="755">
        <f>'P dalga Hızı'!F11</f>
        <v>0</v>
      </c>
      <c r="G11" s="1011"/>
      <c r="H11" s="1012"/>
    </row>
    <row r="12" spans="2:17" ht="15" customHeight="1">
      <c r="B12" s="1006" t="s">
        <v>50</v>
      </c>
      <c r="C12" s="713" t="s">
        <v>44</v>
      </c>
      <c r="D12" s="753">
        <f>Sismik!C117</f>
        <v>0</v>
      </c>
      <c r="E12" s="754" t="str">
        <f>Sismik!I119</f>
        <v xml:space="preserve"> </v>
      </c>
      <c r="F12" s="755">
        <f>'P dalga Hızı'!F12</f>
        <v>0</v>
      </c>
      <c r="G12" s="1009">
        <f>Sismik!AB15</f>
        <v>0</v>
      </c>
      <c r="H12" s="1010"/>
    </row>
    <row r="13" spans="2:17" ht="15" customHeight="1">
      <c r="B13" s="1005"/>
      <c r="C13" s="713" t="s">
        <v>45</v>
      </c>
      <c r="D13" s="753">
        <f>Sismik!D117</f>
        <v>0</v>
      </c>
      <c r="E13" s="754" t="str">
        <f>Sismik!K119</f>
        <v xml:space="preserve"> </v>
      </c>
      <c r="F13" s="755">
        <f>'P dalga Hızı'!F13</f>
        <v>0</v>
      </c>
      <c r="G13" s="1011"/>
      <c r="H13" s="1012"/>
    </row>
    <row r="14" spans="2:17" ht="15" customHeight="1">
      <c r="B14" s="1004" t="s">
        <v>51</v>
      </c>
      <c r="C14" s="712" t="s">
        <v>44</v>
      </c>
      <c r="D14" s="750">
        <f>Sismik!C143</f>
        <v>0</v>
      </c>
      <c r="E14" s="751" t="str">
        <f>Sismik!I145</f>
        <v xml:space="preserve"> </v>
      </c>
      <c r="F14" s="755">
        <f>'P dalga Hızı'!F14</f>
        <v>0</v>
      </c>
      <c r="G14" s="1009">
        <f>Sismik!AB17</f>
        <v>0</v>
      </c>
      <c r="H14" s="1010"/>
    </row>
    <row r="15" spans="2:17" ht="15" customHeight="1">
      <c r="B15" s="1005"/>
      <c r="C15" s="713" t="s">
        <v>45</v>
      </c>
      <c r="D15" s="753">
        <f>Sismik!D143</f>
        <v>0</v>
      </c>
      <c r="E15" s="754" t="str">
        <f>Sismik!K145</f>
        <v xml:space="preserve"> </v>
      </c>
      <c r="F15" s="781">
        <f>'P dalga Hızı'!F15</f>
        <v>0</v>
      </c>
      <c r="G15" s="1011"/>
      <c r="H15" s="1012"/>
    </row>
    <row r="17" spans="2:16">
      <c r="B17" s="1107" t="s">
        <v>140</v>
      </c>
      <c r="C17" s="1319"/>
      <c r="D17" s="166">
        <f>MIN(K4:K9)</f>
        <v>0</v>
      </c>
      <c r="E17" s="166">
        <f>MAX(K4:K9)</f>
        <v>0</v>
      </c>
      <c r="F17" s="178" t="str">
        <f>IF(AND(D17&gt;0,D17&lt;=400),"Çok Zayıf",IF(AND(D17&gt;400,D17&lt;=1500),"Zayıf",IF(AND(D17&gt;1500,D17&lt;=3000),"Orta",IF(AND(D17&gt;3000,D17&lt;=10000),"Sağlam",IF(D17=0," ",IF(D17&gt;10000,"Çok Sağlam"))))))</f>
        <v xml:space="preserve"> </v>
      </c>
      <c r="G17" s="178" t="str">
        <f>IF(AND(E17&gt;0,E17&lt;=400),"Çok Zayıf",IF(AND(E17&gt;400,E17&lt;=1500),"Zayıf",IF(AND(E17&gt;1500,E17&lt;=3000),"Orta",IF(AND(E17&gt;3000,E17&lt;=10000),"Sağlam",IF(E17=0," ",IF(E17&gt;10000,"Çok Sağlam"))))))</f>
        <v xml:space="preserve"> </v>
      </c>
      <c r="H17" s="3" t="s">
        <v>133</v>
      </c>
      <c r="I17" s="3"/>
    </row>
    <row r="18" spans="2:16">
      <c r="B18" s="1107" t="s">
        <v>141</v>
      </c>
      <c r="C18" s="1319"/>
      <c r="D18" s="166">
        <f>MIN(L4:L9)</f>
        <v>0</v>
      </c>
      <c r="E18" s="166">
        <f>MAX(L4:L9)</f>
        <v>0</v>
      </c>
      <c r="F18" s="178" t="str">
        <f>IF(AND(D18&gt;0,D18&lt;=400),"Çok Zayıf",IF(AND(D18&gt;400,D18&lt;=1500),"Zayıf",IF(AND(D18&gt;1500,D18&lt;=3000),"Orta",IF(AND(D18&gt;3000,D18&lt;=10000),"Sağlam",IF(D18=0," ",IF(D18&gt;10000,"Çok Sağlam"))))))</f>
        <v xml:space="preserve"> </v>
      </c>
      <c r="G18" s="178" t="str">
        <f>IF(AND(E18&gt;0,E18&lt;=400),"Çok Zayıf",IF(AND(E18&gt;400,E18&lt;=1500),"Zayıf",IF(AND(E18&gt;1500,E18&lt;=3000),"Orta",IF(AND(E18&gt;3000,E18&lt;=10000),"Sağlam",IF(E18=0," ",IF(E18&gt;10000,"Çok Sağlam"))))))</f>
        <v xml:space="preserve"> </v>
      </c>
      <c r="H18" s="3" t="s">
        <v>133</v>
      </c>
      <c r="I18" s="3"/>
    </row>
    <row r="19" spans="2:16">
      <c r="P19" s="73"/>
    </row>
    <row r="23" spans="2:16">
      <c r="B23" s="1320" t="s">
        <v>203</v>
      </c>
      <c r="C23" s="1321"/>
      <c r="D23" s="1321"/>
      <c r="E23" s="1322"/>
      <c r="F23" s="179" t="e">
        <f>Q10/Q3</f>
        <v>#DIV/0!</v>
      </c>
      <c r="G23" s="1323" t="e">
        <f>IF(AND(F23&gt;0,F23&lt;=400),"Çok Zayıf",IF(AND(F23&gt;400,F23&lt;=1500),"Zayıf",IF(AND(F23&gt;1500,F23&lt;=3000),"Orta",IF(AND(F23&gt;3000,F23&lt;=10000),"Sağlam",IF(F23=0," ",IF(F23&gt;10000,"Çok Sağlam"))))))</f>
        <v>#DIV/0!</v>
      </c>
      <c r="H23" s="1324"/>
    </row>
    <row r="27" spans="2:16">
      <c r="C27" s="1028"/>
      <c r="D27" s="1028"/>
    </row>
    <row r="28" spans="2:16">
      <c r="C28" s="157"/>
      <c r="D28" s="157"/>
    </row>
    <row r="29" spans="2:16">
      <c r="C29" s="256"/>
      <c r="D29" s="257"/>
    </row>
    <row r="30" spans="2:16">
      <c r="C30" s="256"/>
      <c r="D30" s="257"/>
    </row>
    <row r="31" spans="2:16">
      <c r="C31" s="256"/>
      <c r="D31" s="257"/>
    </row>
    <row r="32" spans="2:16">
      <c r="C32" s="256"/>
      <c r="D32" s="257"/>
    </row>
    <row r="34" spans="3:6">
      <c r="C34" s="984"/>
      <c r="D34" s="984"/>
      <c r="E34" s="258"/>
      <c r="F34" s="62"/>
    </row>
    <row r="300" spans="1:2">
      <c r="A300" t="s">
        <v>428</v>
      </c>
      <c r="B300">
        <f>COUNTIF(E4:E15,"Zayıf")</f>
        <v>0</v>
      </c>
    </row>
    <row r="301" spans="1:2">
      <c r="A301" t="s">
        <v>430</v>
      </c>
      <c r="B301">
        <f>COUNTIF(E4:E15,"Çok Zayıf")</f>
        <v>0</v>
      </c>
    </row>
    <row r="302" spans="1:2">
      <c r="A302" t="s">
        <v>425</v>
      </c>
      <c r="B302">
        <f>COUNTIF(E4:E15,"Orta")</f>
        <v>0</v>
      </c>
    </row>
    <row r="303" spans="1:2">
      <c r="A303" t="s">
        <v>429</v>
      </c>
      <c r="B303">
        <f>COUNTIF(E4:E15,"Sağlam")</f>
        <v>0</v>
      </c>
    </row>
    <row r="304" spans="1:2">
      <c r="A304" t="s">
        <v>431</v>
      </c>
      <c r="B304">
        <f>COUNTIF(E4:E15,"Çok Sağlam")</f>
        <v>0</v>
      </c>
    </row>
    <row r="305" spans="1:1">
      <c r="A305" t="s">
        <v>437</v>
      </c>
    </row>
  </sheetData>
  <sheetProtection algorithmName="SHA-512" hashValue="budYijNFvFoiLBX1V30GLhI4bfKlqjz+PHEE3VdlKf70lxohHQTxhnD3Q+JNU0XH2/X8cGbHkA2YF14k3nF4Tw==" saltValue="toot4qBEZJQckFR9sWYGFQ==" spinCount="100000" sheet="1" objects="1" scenarios="1"/>
  <mergeCells count="20">
    <mergeCell ref="C1:H2"/>
    <mergeCell ref="G3:H3"/>
    <mergeCell ref="G4:H5"/>
    <mergeCell ref="G6:H7"/>
    <mergeCell ref="B14:B15"/>
    <mergeCell ref="B4:B5"/>
    <mergeCell ref="B6:B7"/>
    <mergeCell ref="B8:B9"/>
    <mergeCell ref="B10:B11"/>
    <mergeCell ref="B12:B13"/>
    <mergeCell ref="G8:H9"/>
    <mergeCell ref="G10:H11"/>
    <mergeCell ref="G12:H13"/>
    <mergeCell ref="G14:H15"/>
    <mergeCell ref="C34:D34"/>
    <mergeCell ref="B23:E23"/>
    <mergeCell ref="G23:H23"/>
    <mergeCell ref="B17:C17"/>
    <mergeCell ref="B18:C18"/>
    <mergeCell ref="C27:D27"/>
  </mergeCells>
  <conditionalFormatting sqref="B4:F15 B16:H23">
    <cfRule type="containsErrors" dxfId="266" priority="6">
      <formula>ISERROR(B4)</formula>
    </cfRule>
  </conditionalFormatting>
  <conditionalFormatting sqref="E34:F34">
    <cfRule type="containsErrors" dxfId="265" priority="1">
      <formula>ISERROR(E34)</formula>
    </cfRule>
  </conditionalFormatting>
  <conditionalFormatting sqref="F34">
    <cfRule type="expression" dxfId="264" priority="2">
      <formula>$E$34=0</formula>
    </cfRule>
  </conditionalFormatting>
  <pageMargins left="0.7" right="0.7" top="0.75" bottom="0.75" header="0.3" footer="0.3"/>
  <pageSetup paperSize="9" orientation="portrait" r:id="rId1"/>
  <ignoredErrors>
    <ignoredError sqref="E12"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B1:Q304"/>
  <sheetViews>
    <sheetView showGridLines="0" showRowColHeaders="0" workbookViewId="0">
      <selection activeCell="T16" sqref="T16"/>
    </sheetView>
  </sheetViews>
  <sheetFormatPr defaultRowHeight="15"/>
  <cols>
    <col min="1" max="1" width="9.140625" style="3"/>
    <col min="2" max="2" width="9.140625" style="3" customWidth="1"/>
    <col min="3" max="4" width="15.7109375" style="3" customWidth="1"/>
    <col min="5" max="7" width="21.7109375" style="3" customWidth="1"/>
    <col min="8" max="10" width="9.140625" style="3"/>
    <col min="11" max="11" width="9.140625" style="3" hidden="1" customWidth="1"/>
    <col min="12" max="12" width="0" style="3" hidden="1" customWidth="1"/>
    <col min="13" max="13" width="9.140625" style="3"/>
    <col min="14" max="16" width="0" style="3" hidden="1" customWidth="1"/>
    <col min="17" max="17" width="9.140625" style="3" hidden="1" customWidth="1"/>
    <col min="18" max="18" width="0" style="3" hidden="1" customWidth="1"/>
    <col min="19" max="16384" width="9.140625" style="3"/>
  </cols>
  <sheetData>
    <row r="1" spans="2:17">
      <c r="B1" s="135"/>
      <c r="C1" s="1021" t="s">
        <v>28</v>
      </c>
      <c r="D1" s="1021"/>
      <c r="E1" s="1021"/>
      <c r="F1" s="1021"/>
      <c r="G1" s="1021"/>
      <c r="H1" s="1021"/>
    </row>
    <row r="2" spans="2:17">
      <c r="B2" s="135"/>
      <c r="C2" s="1021"/>
      <c r="D2" s="1021"/>
      <c r="E2" s="1021"/>
      <c r="F2" s="1021"/>
      <c r="G2" s="1021"/>
      <c r="H2" s="1021"/>
    </row>
    <row r="3" spans="2:17" ht="31.5">
      <c r="B3" s="548" t="s">
        <v>661</v>
      </c>
      <c r="C3" s="549" t="s">
        <v>41</v>
      </c>
      <c r="D3" s="549" t="s">
        <v>189</v>
      </c>
      <c r="E3" s="549" t="s">
        <v>64</v>
      </c>
      <c r="F3" s="549" t="s">
        <v>54</v>
      </c>
      <c r="G3" s="880" t="s">
        <v>55</v>
      </c>
      <c r="H3" s="880"/>
      <c r="Q3" s="3">
        <f>COUNTIF(Q4:Q9,"&gt;0")</f>
        <v>0</v>
      </c>
    </row>
    <row r="4" spans="2:17" ht="15" customHeight="1">
      <c r="B4" s="1004" t="s">
        <v>46</v>
      </c>
      <c r="C4" s="712" t="s">
        <v>44</v>
      </c>
      <c r="D4" s="750">
        <f>Sismik!C14</f>
        <v>0</v>
      </c>
      <c r="E4" s="751" t="str">
        <f>Sismik!I18</f>
        <v/>
      </c>
      <c r="F4" s="752">
        <f>'P dalga Hızı'!F4</f>
        <v>0</v>
      </c>
      <c r="G4" s="1022">
        <f>Sismik!AB7</f>
        <v>0</v>
      </c>
      <c r="H4" s="1023"/>
      <c r="K4" s="47" t="str">
        <f>IF(D4=0,"100000",D4)</f>
        <v>100000</v>
      </c>
      <c r="L4" s="47" t="str">
        <f>IF(D5=0,"100000",D5)</f>
        <v>100000</v>
      </c>
      <c r="Q4" s="180">
        <f>D5</f>
        <v>0</v>
      </c>
    </row>
    <row r="5" spans="2:17" ht="15" customHeight="1">
      <c r="B5" s="1005"/>
      <c r="C5" s="713" t="s">
        <v>45</v>
      </c>
      <c r="D5" s="753">
        <f>Sismik!D14</f>
        <v>0</v>
      </c>
      <c r="E5" s="754" t="str">
        <f>Sismik!K18</f>
        <v/>
      </c>
      <c r="F5" s="755">
        <f>'P dalga Hızı'!F5</f>
        <v>0</v>
      </c>
      <c r="G5" s="1011"/>
      <c r="H5" s="1012"/>
      <c r="K5" s="47" t="str">
        <f>IF(D6=0,"100000",D6)</f>
        <v>100000</v>
      </c>
      <c r="L5" s="47" t="str">
        <f>IF(D7=0,"100000",D7)</f>
        <v>100000</v>
      </c>
      <c r="Q5" s="180">
        <f>D7</f>
        <v>0</v>
      </c>
    </row>
    <row r="6" spans="2:17" ht="15" customHeight="1">
      <c r="B6" s="1006" t="s">
        <v>47</v>
      </c>
      <c r="C6" s="713" t="s">
        <v>44</v>
      </c>
      <c r="D6" s="753">
        <f>Sismik!C41</f>
        <v>0</v>
      </c>
      <c r="E6" s="754" t="str">
        <f>Sismik!I45</f>
        <v/>
      </c>
      <c r="F6" s="755">
        <f>'P dalga Hızı'!F6</f>
        <v>0</v>
      </c>
      <c r="G6" s="1009">
        <f>Sismik!AB9</f>
        <v>0</v>
      </c>
      <c r="H6" s="1010"/>
      <c r="K6" s="47" t="str">
        <f>IF(D8=0,"100000",D8)</f>
        <v>100000</v>
      </c>
      <c r="L6" s="47" t="str">
        <f>IF(D9=0,"100000",D9)</f>
        <v>100000</v>
      </c>
      <c r="Q6" s="180">
        <f>D9</f>
        <v>0</v>
      </c>
    </row>
    <row r="7" spans="2:17" ht="15" customHeight="1">
      <c r="B7" s="1005"/>
      <c r="C7" s="713" t="s">
        <v>45</v>
      </c>
      <c r="D7" s="753">
        <f>Sismik!D41</f>
        <v>0</v>
      </c>
      <c r="E7" s="754" t="str">
        <f>Sismik!K45</f>
        <v/>
      </c>
      <c r="F7" s="755">
        <f>'P dalga Hızı'!F7</f>
        <v>0</v>
      </c>
      <c r="G7" s="1011"/>
      <c r="H7" s="1012"/>
      <c r="K7" s="47" t="str">
        <f>IF(D10=0,"100000",D10)</f>
        <v>100000</v>
      </c>
      <c r="L7" s="47" t="str">
        <f>IF(D11=0,"100000",D11)</f>
        <v>100000</v>
      </c>
      <c r="Q7" s="180">
        <f>D11</f>
        <v>0</v>
      </c>
    </row>
    <row r="8" spans="2:17" ht="15" customHeight="1">
      <c r="B8" s="1006" t="s">
        <v>48</v>
      </c>
      <c r="C8" s="713" t="s">
        <v>44</v>
      </c>
      <c r="D8" s="753">
        <f>Sismik!C67</f>
        <v>0</v>
      </c>
      <c r="E8" s="754" t="str">
        <f>Sismik!I71</f>
        <v/>
      </c>
      <c r="F8" s="755">
        <f>'P dalga Hızı'!F8</f>
        <v>0</v>
      </c>
      <c r="G8" s="1009">
        <f>Sismik!AB11</f>
        <v>0</v>
      </c>
      <c r="H8" s="1010"/>
      <c r="K8" s="47" t="str">
        <f>IF(D12=0,"100000",D12)</f>
        <v>100000</v>
      </c>
      <c r="L8" s="47" t="str">
        <f>IF(D13=0,"100000",D13)</f>
        <v>100000</v>
      </c>
      <c r="Q8" s="180">
        <f>D13</f>
        <v>0</v>
      </c>
    </row>
    <row r="9" spans="2:17" ht="15" customHeight="1">
      <c r="B9" s="1005"/>
      <c r="C9" s="713" t="s">
        <v>45</v>
      </c>
      <c r="D9" s="753">
        <f>Sismik!D67</f>
        <v>0</v>
      </c>
      <c r="E9" s="754" t="str">
        <f>Sismik!K71</f>
        <v/>
      </c>
      <c r="F9" s="755">
        <f>'P dalga Hızı'!F9</f>
        <v>0</v>
      </c>
      <c r="G9" s="1011"/>
      <c r="H9" s="1012"/>
      <c r="K9" s="47" t="str">
        <f>IF(D14=0,"100000",D14)</f>
        <v>100000</v>
      </c>
      <c r="L9" s="47" t="str">
        <f>IF(D15=0,"100000",D15)</f>
        <v>100000</v>
      </c>
      <c r="Q9" s="180">
        <f>D15</f>
        <v>0</v>
      </c>
    </row>
    <row r="10" spans="2:17" ht="15" customHeight="1">
      <c r="B10" s="1006" t="s">
        <v>49</v>
      </c>
      <c r="C10" s="713" t="s">
        <v>44</v>
      </c>
      <c r="D10" s="753">
        <f>Sismik!C93</f>
        <v>0</v>
      </c>
      <c r="E10" s="754" t="str">
        <f>Sismik!I97</f>
        <v/>
      </c>
      <c r="F10" s="755">
        <f>'P dalga Hızı'!F10</f>
        <v>0</v>
      </c>
      <c r="G10" s="1009">
        <f>Sismik!AB13</f>
        <v>0</v>
      </c>
      <c r="H10" s="1010"/>
    </row>
    <row r="11" spans="2:17" ht="15" customHeight="1">
      <c r="B11" s="1005"/>
      <c r="C11" s="713" t="s">
        <v>45</v>
      </c>
      <c r="D11" s="753">
        <f>Sismik!D93</f>
        <v>0</v>
      </c>
      <c r="E11" s="754" t="str">
        <f>Sismik!K97</f>
        <v/>
      </c>
      <c r="F11" s="755">
        <f>'P dalga Hızı'!F11</f>
        <v>0</v>
      </c>
      <c r="G11" s="1011"/>
      <c r="H11" s="1012"/>
      <c r="Q11" s="180">
        <f>SUM(Q4:Q10)</f>
        <v>0</v>
      </c>
    </row>
    <row r="12" spans="2:17" ht="15" customHeight="1">
      <c r="B12" s="1006" t="s">
        <v>50</v>
      </c>
      <c r="C12" s="713" t="s">
        <v>44</v>
      </c>
      <c r="D12" s="753">
        <f>Sismik!C119</f>
        <v>0</v>
      </c>
      <c r="E12" s="754" t="str">
        <f>Sismik!I123</f>
        <v/>
      </c>
      <c r="F12" s="755">
        <f>'P dalga Hızı'!F12</f>
        <v>0</v>
      </c>
      <c r="G12" s="1009">
        <f>Sismik!AB15</f>
        <v>0</v>
      </c>
      <c r="H12" s="1010"/>
    </row>
    <row r="13" spans="2:17" ht="15" customHeight="1">
      <c r="B13" s="1005"/>
      <c r="C13" s="713" t="s">
        <v>45</v>
      </c>
      <c r="D13" s="753">
        <f>Sismik!D119</f>
        <v>0</v>
      </c>
      <c r="E13" s="754" t="str">
        <f>Sismik!K123</f>
        <v/>
      </c>
      <c r="F13" s="755">
        <f>'P dalga Hızı'!F13</f>
        <v>0</v>
      </c>
      <c r="G13" s="1011"/>
      <c r="H13" s="1012"/>
    </row>
    <row r="14" spans="2:17" ht="15" customHeight="1">
      <c r="B14" s="1004" t="s">
        <v>51</v>
      </c>
      <c r="C14" s="712" t="s">
        <v>44</v>
      </c>
      <c r="D14" s="750">
        <f>Sismik!C145</f>
        <v>0</v>
      </c>
      <c r="E14" s="751" t="str">
        <f>Sismik!I149</f>
        <v/>
      </c>
      <c r="F14" s="755">
        <f>'P dalga Hızı'!F14</f>
        <v>0</v>
      </c>
      <c r="G14" s="1009">
        <f>Sismik!AB17</f>
        <v>0</v>
      </c>
      <c r="H14" s="1010"/>
    </row>
    <row r="15" spans="2:17" ht="15" customHeight="1">
      <c r="B15" s="1005"/>
      <c r="C15" s="713" t="s">
        <v>45</v>
      </c>
      <c r="D15" s="753">
        <f>Sismik!D145</f>
        <v>0</v>
      </c>
      <c r="E15" s="754" t="str">
        <f>Sismik!K149</f>
        <v/>
      </c>
      <c r="F15" s="755">
        <f>'P dalga Hızı'!F15</f>
        <v>0</v>
      </c>
      <c r="G15" s="1011"/>
      <c r="H15" s="1012"/>
    </row>
    <row r="17" spans="2:8">
      <c r="B17" s="1007" t="s">
        <v>136</v>
      </c>
      <c r="C17" s="1008"/>
      <c r="D17" s="166">
        <f>MIN(K4:K9)</f>
        <v>0</v>
      </c>
      <c r="E17" s="166">
        <f>MAX(K4:K9)</f>
        <v>0</v>
      </c>
      <c r="F17" s="178" t="str">
        <f>IF(AND(D17&gt;400,D17&lt;10000),"Az",IF(AND(D17&gt;10001,D17&lt;40000),"Orta",IF(AND(D17&gt;40001,D17&lt;100000),"Yüksek",IF(AND(D17&lt;400,D17&gt;1),"Çok Az",IF(D17&gt;100000,"Çok Yüksek",IF(D17=0,""))))))</f>
        <v/>
      </c>
      <c r="G17" s="178" t="str">
        <f>IF(AND(E17&gt;400,E17&lt;10000),"Az",IF(AND(E17&gt;10001,E17&lt;40000),"Orta",IF(AND(E17&gt;40001,E17&lt;100000),"Yüksek",IF(AND(E17&lt;400,E17&gt;1),"Çok Az",IF(E17&gt;100000,"Çok Yüksek",IF(E17=0,""))))))</f>
        <v/>
      </c>
      <c r="H17" s="3" t="s">
        <v>133</v>
      </c>
    </row>
    <row r="18" spans="2:8">
      <c r="B18" s="1007" t="s">
        <v>137</v>
      </c>
      <c r="C18" s="1008"/>
      <c r="D18" s="166">
        <f>MIN(L4:L9)</f>
        <v>0</v>
      </c>
      <c r="E18" s="166">
        <f>MAX(L4:L9)</f>
        <v>0</v>
      </c>
      <c r="F18" s="178" t="str">
        <f>IF(AND(D18&gt;400,D18&lt;10000),"Az",IF(AND(D18&gt;10001,D18&lt;40000),"Orta",IF(AND(D18&gt;40001,D18&lt;100000),"Yüksek",IF(AND(D18&lt;400,D18&gt;1),"Çok Az",IF(D18&gt;100000,"Çok Yüksek",IF(D18=0,""))))))</f>
        <v/>
      </c>
      <c r="G18" s="178" t="str">
        <f>IF(AND(E18&gt;400,E18&lt;10000),"Az",IF(AND(E18&gt;10001,E18&lt;40000),"Orta",IF(AND(E18&gt;40001,E18&lt;100000),"Yüksek",IF(AND(E18&lt;400,E18&gt;1),"Çok Az",IF(E18&gt;100000,"Çok Yüksek",IF(E18=0,""))))))</f>
        <v/>
      </c>
      <c r="H18" s="3" t="s">
        <v>133</v>
      </c>
    </row>
    <row r="23" spans="2:8">
      <c r="B23" s="1325" t="s">
        <v>202</v>
      </c>
      <c r="C23" s="1326"/>
      <c r="D23" s="1326"/>
      <c r="E23" s="1327"/>
      <c r="F23" s="179" t="e">
        <f>Q11/Q3</f>
        <v>#DIV/0!</v>
      </c>
      <c r="G23" s="1323" t="e">
        <f>IF(AND(F23&gt;400,F23&lt;10000),"Az",IF(AND(F23&gt;10001,F23&lt;40000),"Orta",IF(AND(F23&gt;40001,F23&lt;100000),"Yüksek",IF(AND(F23&lt;400,F23&gt;1),"Çok Az",IF(F23&gt;100000,"Çok Yüksek",IF(F23=0,""))))))</f>
        <v>#DIV/0!</v>
      </c>
      <c r="H23" s="1324"/>
    </row>
    <row r="300" spans="2:3">
      <c r="B300" s="3" t="s">
        <v>432</v>
      </c>
      <c r="C300" s="3">
        <f>COUNTIF(E4:E15,"Az")</f>
        <v>0</v>
      </c>
    </row>
    <row r="301" spans="2:3">
      <c r="B301" s="3" t="s">
        <v>425</v>
      </c>
      <c r="C301" s="3">
        <f>COUNTIF(E4:E15,"Orta")</f>
        <v>0</v>
      </c>
    </row>
    <row r="302" spans="2:3">
      <c r="B302" s="3" t="s">
        <v>433</v>
      </c>
      <c r="C302" s="3">
        <f>COUNTIF(E4:E15,"Yüksek")</f>
        <v>0</v>
      </c>
    </row>
    <row r="303" spans="2:3">
      <c r="B303" s="3" t="s">
        <v>434</v>
      </c>
      <c r="C303" s="3">
        <f>COUNTIF(E4:E15,"Çok Yüksek")</f>
        <v>0</v>
      </c>
    </row>
    <row r="304" spans="2:3">
      <c r="B304" s="3" t="s">
        <v>435</v>
      </c>
      <c r="C304" s="3">
        <f>COUNTIF(E4:E15,"Çok Az")</f>
        <v>0</v>
      </c>
    </row>
  </sheetData>
  <sheetProtection algorithmName="SHA-512" hashValue="CAPxIxuvOh6w50KMj1v0JUbvH6dV8r/QMQLWomSW7zLZxlP0gYcmBoozRSlZS1OJ2ifxc60BA2Z7FGJhY3b4nA==" saltValue="YQ+UZZZN0x5fUhSco4UXuA==" spinCount="100000" sheet="1" objects="1" scenarios="1"/>
  <mergeCells count="18">
    <mergeCell ref="B23:E23"/>
    <mergeCell ref="G23:H23"/>
    <mergeCell ref="B17:C17"/>
    <mergeCell ref="B18:C18"/>
    <mergeCell ref="B14:B15"/>
    <mergeCell ref="G14:H15"/>
    <mergeCell ref="B10:B11"/>
    <mergeCell ref="B12:B13"/>
    <mergeCell ref="C1:H2"/>
    <mergeCell ref="G3:H3"/>
    <mergeCell ref="G4:H5"/>
    <mergeCell ref="G6:H7"/>
    <mergeCell ref="G8:H9"/>
    <mergeCell ref="G10:H11"/>
    <mergeCell ref="G12:H13"/>
    <mergeCell ref="B4:B5"/>
    <mergeCell ref="B6:B7"/>
    <mergeCell ref="B8:B9"/>
  </mergeCells>
  <conditionalFormatting sqref="B4:F15 B16:H23">
    <cfRule type="containsErrors" dxfId="263" priority="1">
      <formula>ISERROR(B4)</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dimension ref="A1:S305"/>
  <sheetViews>
    <sheetView showGridLines="0" showRowColHeaders="0" workbookViewId="0">
      <selection activeCell="W23" sqref="W23"/>
    </sheetView>
  </sheetViews>
  <sheetFormatPr defaultRowHeight="15"/>
  <cols>
    <col min="1" max="1" width="9.140625" style="3"/>
    <col min="2" max="2" width="9.140625" style="3" customWidth="1"/>
    <col min="3" max="7" width="15.7109375" style="3" customWidth="1"/>
    <col min="8" max="8" width="9.140625" style="3"/>
    <col min="9" max="9" width="6.5703125" style="3" customWidth="1"/>
    <col min="10" max="10" width="9.140625" style="3"/>
    <col min="11" max="11" width="9.140625" style="3" hidden="1" customWidth="1"/>
    <col min="12" max="12" width="4.7109375" style="3" hidden="1" customWidth="1"/>
    <col min="13" max="15" width="9.140625" style="3"/>
    <col min="16" max="16" width="9.140625" style="3" hidden="1" customWidth="1"/>
    <col min="17" max="19" width="0" style="3" hidden="1" customWidth="1"/>
    <col min="20" max="16384" width="9.140625" style="3"/>
  </cols>
  <sheetData>
    <row r="1" spans="2:19">
      <c r="B1" s="1021" t="s">
        <v>134</v>
      </c>
      <c r="C1" s="1021"/>
      <c r="D1" s="1021"/>
      <c r="E1" s="1021"/>
      <c r="F1" s="1021"/>
      <c r="G1" s="1021"/>
      <c r="H1" s="1021"/>
      <c r="I1" s="1021"/>
      <c r="J1" s="1021"/>
      <c r="K1" s="1021"/>
      <c r="L1" s="1021"/>
      <c r="M1" s="1021"/>
    </row>
    <row r="2" spans="2:19">
      <c r="B2" s="1021"/>
      <c r="C2" s="1021"/>
      <c r="D2" s="1021"/>
      <c r="E2" s="1021"/>
      <c r="F2" s="1021"/>
      <c r="G2" s="1021"/>
      <c r="H2" s="1021"/>
      <c r="I2" s="1021"/>
      <c r="J2" s="1021"/>
      <c r="K2" s="1021"/>
      <c r="L2" s="1021"/>
      <c r="M2" s="1021"/>
    </row>
    <row r="3" spans="2:19" ht="31.5">
      <c r="B3" s="548" t="s">
        <v>661</v>
      </c>
      <c r="C3" s="549" t="s">
        <v>41</v>
      </c>
      <c r="D3" s="549" t="s">
        <v>62</v>
      </c>
      <c r="E3" s="549" t="s">
        <v>61</v>
      </c>
      <c r="F3" s="549" t="s">
        <v>54</v>
      </c>
      <c r="G3" s="880" t="s">
        <v>733</v>
      </c>
      <c r="H3" s="880"/>
      <c r="I3" s="1132" t="s">
        <v>55</v>
      </c>
      <c r="J3" s="1132"/>
      <c r="K3" s="1132"/>
      <c r="L3" s="1132"/>
      <c r="M3" s="1132"/>
      <c r="P3" s="3">
        <f>COUNTIF(P4:P9,"&gt;0")</f>
        <v>0</v>
      </c>
    </row>
    <row r="4" spans="2:19" ht="15" customHeight="1">
      <c r="B4" s="1004" t="s">
        <v>46</v>
      </c>
      <c r="C4" s="712" t="s">
        <v>44</v>
      </c>
      <c r="D4" s="782" t="str">
        <f>IF(ISERROR(Sismik!C11),"",Sismik!C11)</f>
        <v/>
      </c>
      <c r="E4" s="751" t="e">
        <f>Sismik!I12</f>
        <v>#DIV/0!</v>
      </c>
      <c r="F4" s="752">
        <f>'P dalga Hızı'!F4</f>
        <v>0</v>
      </c>
      <c r="G4" s="1011" t="e">
        <f>IF((Sismik!C11&lt;0.25),"Gözeneksiz",IF(AND(Sismik!C11&gt;=0.25,Sismik!C11&lt;0.4),"Gözenekli - Porozlu",IF(Sismik!C11&gt;=0.4,"Gözenekli - Suya doygun")))</f>
        <v>#DIV/0!</v>
      </c>
      <c r="H4" s="1012"/>
      <c r="I4" s="1328">
        <f>Sismik!AB7</f>
        <v>0</v>
      </c>
      <c r="J4" s="1329"/>
      <c r="K4" s="1329"/>
      <c r="L4" s="1329"/>
      <c r="M4" s="1330"/>
      <c r="P4" s="48" t="str">
        <f>D5</f>
        <v/>
      </c>
      <c r="R4" s="48" t="str">
        <f>IF(D4=0,"100000",D4)</f>
        <v/>
      </c>
      <c r="S4" s="48" t="str">
        <f>IF(D5=0,"100000",D5)</f>
        <v/>
      </c>
    </row>
    <row r="5" spans="2:19" ht="15" customHeight="1">
      <c r="B5" s="1005"/>
      <c r="C5" s="713" t="s">
        <v>45</v>
      </c>
      <c r="D5" s="783" t="str">
        <f>IF(ISERROR(Sismik!D11),"",Sismik!D11)</f>
        <v/>
      </c>
      <c r="E5" s="754" t="e">
        <f>Sismik!K12</f>
        <v>#DIV/0!</v>
      </c>
      <c r="F5" s="755">
        <f>'P dalga Hızı'!F5</f>
        <v>0</v>
      </c>
      <c r="G5" s="1011" t="e">
        <f>IF((Sismik!D11&lt;0.25),"Gözeneksiz",IF(AND(Sismik!D11&gt;=0.25,Sismik!D11&lt;0.4),"Gözenekli - Porozlu",IF(Sismik!D11&gt;=0.4,"Gözenekli - Suya doygun")))</f>
        <v>#DIV/0!</v>
      </c>
      <c r="H5" s="1012"/>
      <c r="I5" s="1331"/>
      <c r="J5" s="1332"/>
      <c r="K5" s="1332"/>
      <c r="L5" s="1332"/>
      <c r="M5" s="1333"/>
      <c r="P5" s="48" t="str">
        <f>D7</f>
        <v/>
      </c>
      <c r="R5" s="48" t="str">
        <f>IF(D6=0,"100000",D6)</f>
        <v/>
      </c>
      <c r="S5" s="48" t="str">
        <f>IF(D7=0,"100000",D7)</f>
        <v/>
      </c>
    </row>
    <row r="6" spans="2:19" ht="15" customHeight="1">
      <c r="B6" s="1006" t="s">
        <v>47</v>
      </c>
      <c r="C6" s="713" t="s">
        <v>44</v>
      </c>
      <c r="D6" s="783" t="str">
        <f>IF(ISERROR(Sismik!C38),"",Sismik!C38)</f>
        <v/>
      </c>
      <c r="E6" s="754" t="e">
        <f>Sismik!I39</f>
        <v>#DIV/0!</v>
      </c>
      <c r="F6" s="755">
        <f>'P dalga Hızı'!F6</f>
        <v>0</v>
      </c>
      <c r="G6" s="1011" t="e">
        <f>IF((Sismik!C38&lt;0.25),"Gözeneksiz",IF(AND(Sismik!C38&gt;=0.25,Sismik!C38&lt;0.4),"Gözenekli - Porozlu",IF(Sismik!C38&gt;=0.4,"Gözenekli - Suya doygun")))</f>
        <v>#DIV/0!</v>
      </c>
      <c r="H6" s="1012"/>
      <c r="I6" s="1328">
        <f>Sismik!AB9</f>
        <v>0</v>
      </c>
      <c r="J6" s="1329"/>
      <c r="K6" s="1329"/>
      <c r="L6" s="1329"/>
      <c r="M6" s="1330"/>
      <c r="P6" s="48" t="str">
        <f>D9</f>
        <v/>
      </c>
      <c r="R6" s="48" t="str">
        <f>IF(D8=0,"100000",D8)</f>
        <v/>
      </c>
      <c r="S6" s="48" t="str">
        <f>IF(D9=0,"100000",D9)</f>
        <v/>
      </c>
    </row>
    <row r="7" spans="2:19" ht="15" customHeight="1">
      <c r="B7" s="1005"/>
      <c r="C7" s="713" t="s">
        <v>45</v>
      </c>
      <c r="D7" s="783" t="str">
        <f>IF(ISERROR(Sismik!D38),"",Sismik!D38)</f>
        <v/>
      </c>
      <c r="E7" s="754" t="e">
        <f>Sismik!K39</f>
        <v>#DIV/0!</v>
      </c>
      <c r="F7" s="755">
        <f>'P dalga Hızı'!F7</f>
        <v>0</v>
      </c>
      <c r="G7" s="1011" t="e">
        <f>IF((Sismik!D38&lt;0.25),"Gözeneksiz",IF(AND(Sismik!D38&gt;=0.25,Sismik!D38&lt;0.4),"Gözenekli - Porozlu",IF(Sismik!D38&gt;=0.4,"Gözenekli - Suya doygun")))</f>
        <v>#DIV/0!</v>
      </c>
      <c r="H7" s="1012"/>
      <c r="I7" s="1331"/>
      <c r="J7" s="1332"/>
      <c r="K7" s="1332"/>
      <c r="L7" s="1332"/>
      <c r="M7" s="1333"/>
      <c r="P7" s="48" t="str">
        <f>D11</f>
        <v/>
      </c>
      <c r="R7" s="48" t="str">
        <f>IF(D10=0,"100000",D10)</f>
        <v/>
      </c>
      <c r="S7" s="48" t="str">
        <f>IF(D11=0,"100000",D11)</f>
        <v/>
      </c>
    </row>
    <row r="8" spans="2:19" ht="15" customHeight="1">
      <c r="B8" s="1006" t="s">
        <v>48</v>
      </c>
      <c r="C8" s="713" t="s">
        <v>44</v>
      </c>
      <c r="D8" s="783" t="str">
        <f>IF(ISERROR(Sismik!C64),"",Sismik!C64)</f>
        <v/>
      </c>
      <c r="E8" s="754" t="e">
        <f>Sismik!I65</f>
        <v>#DIV/0!</v>
      </c>
      <c r="F8" s="755">
        <f>'P dalga Hızı'!F8</f>
        <v>0</v>
      </c>
      <c r="G8" s="1011" t="e">
        <f>IF((Sismik!C64&lt;0.25),"Gözeneksiz",IF(AND(Sismik!C64&gt;=0.25,Sismik!C64&lt;0.4),"Gözenekli - Porozlu",IF(Sismik!C64&gt;=0.4,"Gözenekli - Suya doygun")))</f>
        <v>#DIV/0!</v>
      </c>
      <c r="H8" s="1012"/>
      <c r="I8" s="1328">
        <f>Sismik!AB11</f>
        <v>0</v>
      </c>
      <c r="J8" s="1329"/>
      <c r="K8" s="1329"/>
      <c r="L8" s="1329"/>
      <c r="M8" s="1330"/>
      <c r="P8" s="48" t="str">
        <f>D13</f>
        <v/>
      </c>
      <c r="R8" s="48" t="str">
        <f>IF(D12=0,"100000",D12)</f>
        <v/>
      </c>
      <c r="S8" s="48" t="str">
        <f>IF(D13=0,"100000",D13)</f>
        <v/>
      </c>
    </row>
    <row r="9" spans="2:19" ht="15" customHeight="1">
      <c r="B9" s="1005"/>
      <c r="C9" s="713" t="s">
        <v>45</v>
      </c>
      <c r="D9" s="783" t="str">
        <f>IF(ISERROR(Sismik!D64),"",Sismik!D64)</f>
        <v/>
      </c>
      <c r="E9" s="754" t="e">
        <f>Sismik!K65</f>
        <v>#DIV/0!</v>
      </c>
      <c r="F9" s="755">
        <f>'P dalga Hızı'!F9</f>
        <v>0</v>
      </c>
      <c r="G9" s="1011" t="e">
        <f>IF((Sismik!D64&lt;0.25),"Gözeneksiz",IF(AND(Sismik!D64&gt;=0.25,Sismik!D64&lt;0.4),"Gözenekli - Porozlu",IF(Sismik!D64&gt;=0.4,"Gözenekli - Suya doygun")))</f>
        <v>#DIV/0!</v>
      </c>
      <c r="H9" s="1012"/>
      <c r="I9" s="1331"/>
      <c r="J9" s="1332"/>
      <c r="K9" s="1332"/>
      <c r="L9" s="1332"/>
      <c r="M9" s="1333"/>
      <c r="P9" s="48" t="str">
        <f>D15</f>
        <v/>
      </c>
      <c r="R9" s="48" t="str">
        <f>IF(D14=0,"100000",D14)</f>
        <v/>
      </c>
      <c r="S9" s="48" t="str">
        <f>IF(D15=0,"100000",D15)</f>
        <v/>
      </c>
    </row>
    <row r="10" spans="2:19" ht="15" customHeight="1">
      <c r="B10" s="1006" t="s">
        <v>49</v>
      </c>
      <c r="C10" s="713" t="s">
        <v>44</v>
      </c>
      <c r="D10" s="783" t="str">
        <f>IF(ISERROR(Sismik!C90),"",Sismik!C90)</f>
        <v/>
      </c>
      <c r="E10" s="754" t="e">
        <f>Sismik!I91</f>
        <v>#DIV/0!</v>
      </c>
      <c r="F10" s="755">
        <f>'P dalga Hızı'!F10</f>
        <v>0</v>
      </c>
      <c r="G10" s="1011" t="e">
        <f>IF((Sismik!C90&lt;0.25),"Gözeneksiz",IF(AND(Sismik!C90&gt;=0.25,Sismik!C90&lt;0.4),"Gözenekli - Porozlu",IF(Sismik!C90&gt;=0.4,"Gözenekli - Suya doygun")))</f>
        <v>#DIV/0!</v>
      </c>
      <c r="H10" s="1012"/>
      <c r="I10" s="1328">
        <f>Sismik!AB13</f>
        <v>0</v>
      </c>
      <c r="J10" s="1329"/>
      <c r="K10" s="1329"/>
      <c r="L10" s="1329"/>
      <c r="M10" s="1330"/>
      <c r="P10" s="48">
        <f>SUM(P4:P9)</f>
        <v>0</v>
      </c>
    </row>
    <row r="11" spans="2:19" ht="15" customHeight="1">
      <c r="B11" s="1005"/>
      <c r="C11" s="713" t="s">
        <v>45</v>
      </c>
      <c r="D11" s="783" t="str">
        <f>IF(ISERROR(Sismik!D90),"",Sismik!D90)</f>
        <v/>
      </c>
      <c r="E11" s="754" t="e">
        <f>Sismik!K91</f>
        <v>#DIV/0!</v>
      </c>
      <c r="F11" s="755">
        <f>'P dalga Hızı'!F11</f>
        <v>0</v>
      </c>
      <c r="G11" s="1011" t="e">
        <f>IF((Sismik!D90&lt;0.25),"Gözeneksiz",IF(AND(Sismik!D90&gt;=0.25,Sismik!D90&lt;0.4),"Gözenekli - Porozlu",IF(Sismik!D90&gt;=0.4,"Gözenekli - Suya doygun")))</f>
        <v>#DIV/0!</v>
      </c>
      <c r="H11" s="1012"/>
      <c r="I11" s="1331"/>
      <c r="J11" s="1332"/>
      <c r="K11" s="1332"/>
      <c r="L11" s="1332"/>
      <c r="M11" s="1333"/>
      <c r="P11" s="48"/>
    </row>
    <row r="12" spans="2:19" ht="15" customHeight="1">
      <c r="B12" s="1006" t="s">
        <v>50</v>
      </c>
      <c r="C12" s="713" t="s">
        <v>44</v>
      </c>
      <c r="D12" s="783" t="str">
        <f>IF(ISERROR(Sismik!C116),"",Sismik!C116)</f>
        <v/>
      </c>
      <c r="E12" s="754" t="e">
        <f>Sismik!I117</f>
        <v>#DIV/0!</v>
      </c>
      <c r="F12" s="755">
        <f>'P dalga Hızı'!F12</f>
        <v>0</v>
      </c>
      <c r="G12" s="1011" t="e">
        <f>IF((Sismik!C116&lt;0.25),"Gözeneksiz",IF(AND(Sismik!C116&gt;=0.25,Sismik!C116&lt;0.4),"Gözenekli - Porozlu",IF(Sismik!C116&gt;=0.4,"Gözenekli - Suya doygun")))</f>
        <v>#DIV/0!</v>
      </c>
      <c r="H12" s="1012"/>
      <c r="I12" s="1328">
        <f>Sismik!AB15</f>
        <v>0</v>
      </c>
      <c r="J12" s="1329"/>
      <c r="K12" s="1329"/>
      <c r="L12" s="1329"/>
      <c r="M12" s="1330"/>
    </row>
    <row r="13" spans="2:19" ht="15" customHeight="1">
      <c r="B13" s="1005"/>
      <c r="C13" s="713" t="s">
        <v>45</v>
      </c>
      <c r="D13" s="783" t="str">
        <f>IF(ISERROR(Sismik!D116),"",Sismik!D116)</f>
        <v/>
      </c>
      <c r="E13" s="754" t="e">
        <f>Sismik!K117</f>
        <v>#DIV/0!</v>
      </c>
      <c r="F13" s="755">
        <f>'P dalga Hızı'!F13</f>
        <v>0</v>
      </c>
      <c r="G13" s="1011" t="e">
        <f>IF((Sismik!D116&lt;0.25),"Gözeneksiz",IF(AND(Sismik!D116&gt;=0.25,Sismik!D116&lt;0.4),"Gözenekli - Porozlu",IF(Sismik!D116&gt;=0.4,"Gözenekli - Suya doygun")))</f>
        <v>#DIV/0!</v>
      </c>
      <c r="H13" s="1012"/>
      <c r="I13" s="1331"/>
      <c r="J13" s="1332"/>
      <c r="K13" s="1332"/>
      <c r="L13" s="1332"/>
      <c r="M13" s="1333"/>
    </row>
    <row r="14" spans="2:19" ht="15" customHeight="1">
      <c r="B14" s="1004" t="s">
        <v>51</v>
      </c>
      <c r="C14" s="712" t="s">
        <v>44</v>
      </c>
      <c r="D14" s="783" t="str">
        <f>IF(ISERROR(Sismik!C142),"",Sismik!C142)</f>
        <v/>
      </c>
      <c r="E14" s="751" t="e">
        <f>Sismik!I143</f>
        <v>#DIV/0!</v>
      </c>
      <c r="F14" s="755">
        <f>'P dalga Hızı'!F14</f>
        <v>0</v>
      </c>
      <c r="G14" s="1011" t="e">
        <f>IF((Sismik!C142&lt;0.25),"Gözeneksiz",IF(AND(Sismik!C142&gt;=0.25,Sismik!C142&lt;0.4),"Gözenekli - Porozlu",IF(Sismik!C142&gt;=0.4,"Gözenekli - Suya doygun")))</f>
        <v>#DIV/0!</v>
      </c>
      <c r="H14" s="1012"/>
      <c r="I14" s="1328">
        <f>Sismik!AB17</f>
        <v>0</v>
      </c>
      <c r="J14" s="1329"/>
      <c r="K14" s="1329"/>
      <c r="L14" s="1329"/>
      <c r="M14" s="1330"/>
    </row>
    <row r="15" spans="2:19" ht="15" customHeight="1">
      <c r="B15" s="1005"/>
      <c r="C15" s="713" t="s">
        <v>45</v>
      </c>
      <c r="D15" s="784" t="str">
        <f>IF(ISERROR(Sismik!D142),"",Sismik!D142)</f>
        <v/>
      </c>
      <c r="E15" s="754" t="e">
        <f>Sismik!K143</f>
        <v>#DIV/0!</v>
      </c>
      <c r="F15" s="781">
        <f>'P dalga Hızı'!F15</f>
        <v>0</v>
      </c>
      <c r="G15" s="1011" t="e">
        <f>IF((Sismik!D142&lt;0.25),"Gözeneksiz",IF(AND(Sismik!D142&gt;=0.25,Sismik!D142&lt;0.4),"Gözenekli - Porozlu",IF(Sismik!D142&gt;=0.4,"Gözenekli - Suya doygun")))</f>
        <v>#DIV/0!</v>
      </c>
      <c r="H15" s="1012"/>
      <c r="I15" s="1331"/>
      <c r="J15" s="1332"/>
      <c r="K15" s="1332"/>
      <c r="L15" s="1332"/>
      <c r="M15" s="1333"/>
    </row>
    <row r="16" spans="2:19">
      <c r="I16" s="48"/>
      <c r="J16" s="48"/>
      <c r="K16" s="48"/>
      <c r="L16" s="48"/>
      <c r="M16" s="48"/>
    </row>
    <row r="17" spans="2:13">
      <c r="C17" s="1007" t="s">
        <v>142</v>
      </c>
      <c r="D17" s="1008"/>
      <c r="E17" s="156">
        <f>MIN(R4:R9)</f>
        <v>0</v>
      </c>
      <c r="F17" s="156">
        <f>MAX(R4:R9)</f>
        <v>0</v>
      </c>
      <c r="G17" s="178" t="str">
        <f>IF(AND(E17&gt;=0.09,E17&lt;=0.19),"Katı",IF(AND(E17&gt;=0.2,E17&lt;=0.29),"Sıkı-Katı",IF(AND(E17&gt;=0.3,E17&lt;=0.4),"Gevşek",IF(AND(E17&gt;=0.4,E17&lt;=0.49),"Çok Gevşek",IF(AND(E17&lt;0.09,E17&gt;=0.01),"Sağlam Kaya",IF(E17&gt;=0.5,"Cıvık-Sıvı",IF(E17=0,"")))))))</f>
        <v/>
      </c>
      <c r="H17" s="863" t="str">
        <f>IF(AND(F17&gt;=0.1,F17&lt;=0.19),"Katı",IF(AND(F17&gt;=0.2,F17&lt;=0.29),"Sıkı-Katı",IF(AND(F17&gt;=0.3,F17&lt;=0.4),"Gevşek",IF(AND(F17&gt;=0.4,F17&lt;=0.49),"Çok Gevşek",IF(AND(F17&lt;0.09,F17&gt;=0.01),"Sağlam Kaya",IF(F17&gt;=0.5,"Cıvık-Sıvı",IF(F17=0,"")))))))</f>
        <v/>
      </c>
      <c r="I17" s="872"/>
      <c r="J17" s="3" t="s">
        <v>133</v>
      </c>
    </row>
    <row r="18" spans="2:13">
      <c r="C18" s="1007" t="s">
        <v>143</v>
      </c>
      <c r="D18" s="1008"/>
      <c r="E18" s="156">
        <f>MIN(S4:S9)</f>
        <v>0</v>
      </c>
      <c r="F18" s="156">
        <f>MAX(S4,S9)</f>
        <v>0</v>
      </c>
      <c r="G18" s="178">
        <f>IF(AND(E18&gt;=0.1,E18&lt;=0.19),"Katı",IF(AND(E18&gt;=0.2,E18&lt;=0.29),"Sıkı-Katı",IF(AND(E18&gt;=0.3,E18&lt;=0.4),"Gevşek",IF(AND(E18&gt;=0.4,E18&lt;=0.49),"Çok Gevşek",IF(AND(E18&gt;=0.01,E18&lt;0.09),"Sağlam Kaya",IF(E18&gt;=0.5,"Cıvık-Sıvı",))))))</f>
        <v>0</v>
      </c>
      <c r="H18" s="863" t="str">
        <f>IF(AND(F18&gt;=0.1,F18&lt;=0.19),"Katı",IF(AND(F18&gt;=0.2,F18&lt;=0.29),"Sıkı-Katı",IF(AND(F18&gt;=0.3,F18&lt;=0.4),"Gevşek",IF(AND(F18&gt;=0.4,F18&lt;=0.49),"Çok Gevşek",IF(AND(F18&lt;0.09,F18&gt;=0.01),"Sağlam Kaya",IF(F18&gt;=0.5,"Cıvık-Sıvı",IF(F18=0,"")))))))</f>
        <v/>
      </c>
      <c r="I18" s="872"/>
      <c r="J18" s="3" t="s">
        <v>133</v>
      </c>
    </row>
    <row r="20" spans="2:13">
      <c r="B20" s="1325" t="s">
        <v>204</v>
      </c>
      <c r="C20" s="1326"/>
      <c r="D20" s="1326"/>
      <c r="E20" s="1327"/>
      <c r="F20" s="181" t="e">
        <f>P10/P3</f>
        <v>#DIV/0!</v>
      </c>
      <c r="G20" s="1323" t="str">
        <f>IF(ISERROR(IF(AND(F20&gt;=0.1,F20&lt;0.19),"Katı",IF(AND(F20&gt;=0.2,F20&lt;0.29),"Sıkı-Katı",IF(AND(F20&gt;=0.3,F20&lt;0.39),"Gevşek",IF(AND(F20&gt;=0.4,F20&lt;0.49),"Çok Gevşek",IF(F20&lt;0.9,"Sağlam Kaya",IF(F20&gt;=0.5,"Cıvık-Sıvı"))))))),"",IF(AND(F20&gt;=0.1,F20&lt;0.19),"Katı",IF(AND(F20&gt;=0.2,F20&lt;0.29),"Sıkı-Katı",IF(AND(F20&gt;=0.3,F20&lt;0.39),"Gevşek",IF(AND(F20&gt;=0.4,F20&lt;0.49),"Çok Gevşek",IF(F20&lt;0.9,"Sağlam Kaya",IF(F20&gt;=0.5,"Cıvık-Sıvı")))))))</f>
        <v/>
      </c>
      <c r="H20" s="1324"/>
    </row>
    <row r="21" spans="2:13">
      <c r="B21" s="142"/>
      <c r="C21" s="142"/>
      <c r="D21" s="142"/>
      <c r="E21" s="142"/>
      <c r="F21" s="143"/>
      <c r="G21" s="142"/>
      <c r="H21" s="142"/>
    </row>
    <row r="24" spans="2:13">
      <c r="C24" s="1021" t="s">
        <v>353</v>
      </c>
      <c r="D24" s="957"/>
      <c r="E24" s="957"/>
      <c r="G24" s="1021" t="s">
        <v>105</v>
      </c>
      <c r="H24" s="1021"/>
      <c r="I24" s="1021"/>
      <c r="J24" s="1021"/>
      <c r="K24" s="1021"/>
      <c r="L24" s="1021"/>
      <c r="M24" s="1021"/>
    </row>
    <row r="25" spans="2:13" ht="15" customHeight="1">
      <c r="C25" s="549" t="s">
        <v>112</v>
      </c>
      <c r="D25" s="549" t="s">
        <v>162</v>
      </c>
      <c r="E25" s="549" t="s">
        <v>11</v>
      </c>
      <c r="G25" s="549" t="s">
        <v>112</v>
      </c>
      <c r="H25" s="880" t="s">
        <v>119</v>
      </c>
      <c r="I25" s="880"/>
      <c r="J25" s="880"/>
      <c r="K25" s="880"/>
      <c r="L25" s="880"/>
      <c r="M25" s="880"/>
    </row>
    <row r="26" spans="2:13" ht="18.75" customHeight="1">
      <c r="C26" s="176">
        <v>0.5</v>
      </c>
      <c r="D26" s="182" t="s">
        <v>168</v>
      </c>
      <c r="E26" s="560" t="s">
        <v>179</v>
      </c>
      <c r="G26" s="176" t="s">
        <v>354</v>
      </c>
      <c r="H26" s="991" t="s">
        <v>355</v>
      </c>
      <c r="I26" s="1334"/>
      <c r="J26" s="1334"/>
      <c r="K26" s="1334"/>
      <c r="L26" s="1334"/>
      <c r="M26" s="1335"/>
    </row>
    <row r="27" spans="2:13" ht="18.75" customHeight="1">
      <c r="C27" s="174" t="s">
        <v>163</v>
      </c>
      <c r="D27" s="175" t="s">
        <v>169</v>
      </c>
      <c r="E27" s="175" t="s">
        <v>178</v>
      </c>
      <c r="G27" s="174" t="s">
        <v>356</v>
      </c>
      <c r="H27" s="991" t="s">
        <v>731</v>
      </c>
      <c r="I27" s="1334"/>
      <c r="J27" s="1334"/>
      <c r="K27" s="1334"/>
      <c r="L27" s="1334"/>
      <c r="M27" s="1335"/>
    </row>
    <row r="28" spans="2:13" ht="18.75" customHeight="1">
      <c r="C28" s="174" t="s">
        <v>164</v>
      </c>
      <c r="D28" s="175" t="s">
        <v>170</v>
      </c>
      <c r="E28" s="175" t="s">
        <v>174</v>
      </c>
      <c r="G28" s="174" t="s">
        <v>357</v>
      </c>
      <c r="H28" s="991" t="s">
        <v>732</v>
      </c>
      <c r="I28" s="1334"/>
      <c r="J28" s="1334"/>
      <c r="K28" s="1334"/>
      <c r="L28" s="1334"/>
      <c r="M28" s="1335"/>
    </row>
    <row r="29" spans="2:13" ht="18.75" customHeight="1">
      <c r="C29" s="174" t="s">
        <v>165</v>
      </c>
      <c r="D29" s="175" t="s">
        <v>171</v>
      </c>
      <c r="E29" s="175" t="s">
        <v>175</v>
      </c>
      <c r="G29" s="134"/>
      <c r="H29" s="1058"/>
      <c r="I29" s="1058"/>
      <c r="J29" s="1058"/>
      <c r="K29" s="1058"/>
      <c r="L29" s="1058"/>
      <c r="M29" s="1058"/>
    </row>
    <row r="30" spans="2:13" ht="18.75" customHeight="1">
      <c r="C30" s="174" t="s">
        <v>166</v>
      </c>
      <c r="D30" s="175" t="s">
        <v>172</v>
      </c>
      <c r="E30" s="175" t="s">
        <v>176</v>
      </c>
      <c r="G30" s="134"/>
      <c r="H30" s="1058"/>
      <c r="I30" s="1058"/>
      <c r="J30" s="1058"/>
      <c r="K30" s="1058"/>
      <c r="L30" s="1058"/>
      <c r="M30" s="1058"/>
    </row>
    <row r="31" spans="2:13" ht="18.75" customHeight="1">
      <c r="C31" s="174" t="s">
        <v>167</v>
      </c>
      <c r="D31" s="175" t="s">
        <v>173</v>
      </c>
      <c r="E31" s="175" t="s">
        <v>177</v>
      </c>
      <c r="G31" s="134"/>
      <c r="H31" s="1058"/>
      <c r="I31" s="1058"/>
      <c r="J31" s="1058"/>
      <c r="K31" s="1058"/>
      <c r="L31" s="1058"/>
      <c r="M31" s="1058"/>
    </row>
    <row r="300" spans="1:2">
      <c r="A300" s="3" t="s">
        <v>172</v>
      </c>
      <c r="B300" s="3">
        <f>COUNTIF(E4:E14,"Katı")</f>
        <v>0</v>
      </c>
    </row>
    <row r="301" spans="1:2">
      <c r="A301" s="3" t="s">
        <v>436</v>
      </c>
      <c r="B301" s="3">
        <f>COUNTIF(E4:E14,"Sıkı-Katı")</f>
        <v>0</v>
      </c>
    </row>
    <row r="302" spans="1:2">
      <c r="A302" s="3" t="s">
        <v>170</v>
      </c>
      <c r="B302" s="3">
        <f>COUNTIF(E4:E14,"Gevşek")</f>
        <v>0</v>
      </c>
    </row>
    <row r="303" spans="1:2">
      <c r="A303" s="3" t="s">
        <v>169</v>
      </c>
      <c r="B303" s="3">
        <f>COUNTIF(E4:E14,"Çok Gevşek")</f>
        <v>0</v>
      </c>
    </row>
    <row r="304" spans="1:2">
      <c r="A304" s="3" t="s">
        <v>173</v>
      </c>
      <c r="B304" s="3">
        <f>COUNTIF(E4:E14,"Sağlam Kaya")</f>
        <v>0</v>
      </c>
    </row>
    <row r="305" spans="1:2">
      <c r="A305" s="3" t="s">
        <v>437</v>
      </c>
      <c r="B305" s="3">
        <f>COUNTIF(E4:E14,"Cıvık-Sıvı")</f>
        <v>0</v>
      </c>
    </row>
  </sheetData>
  <sheetProtection algorithmName="SHA-512" hashValue="U0LDna4Nu2h8ljKI0Tjbcs36Vg6R+XXRzSYdqhuZhZLi6txYyRFwimVa/N42f35c+GtiOEv9NaDmCrap/LQFHQ==" saltValue="tRrQUK45bcPKOPvDx7G2Fg==" spinCount="100000" sheet="1" objects="1" scenarios="1"/>
  <mergeCells count="45">
    <mergeCell ref="G3:H3"/>
    <mergeCell ref="G7:H7"/>
    <mergeCell ref="G8:H8"/>
    <mergeCell ref="G9:H9"/>
    <mergeCell ref="G10:H10"/>
    <mergeCell ref="G6:H6"/>
    <mergeCell ref="G4:H4"/>
    <mergeCell ref="G5:H5"/>
    <mergeCell ref="G15:H15"/>
    <mergeCell ref="G11:H11"/>
    <mergeCell ref="G12:H12"/>
    <mergeCell ref="G13:H13"/>
    <mergeCell ref="G14:H14"/>
    <mergeCell ref="H30:I30"/>
    <mergeCell ref="H31:I31"/>
    <mergeCell ref="J29:M29"/>
    <mergeCell ref="J30:M30"/>
    <mergeCell ref="J31:M31"/>
    <mergeCell ref="H26:M26"/>
    <mergeCell ref="H27:M27"/>
    <mergeCell ref="H25:M25"/>
    <mergeCell ref="G24:M24"/>
    <mergeCell ref="H29:I29"/>
    <mergeCell ref="H28:M28"/>
    <mergeCell ref="I14:M15"/>
    <mergeCell ref="I3:M3"/>
    <mergeCell ref="B1:M2"/>
    <mergeCell ref="C24:E24"/>
    <mergeCell ref="B20:E20"/>
    <mergeCell ref="G20:H20"/>
    <mergeCell ref="B14:B15"/>
    <mergeCell ref="B4:B5"/>
    <mergeCell ref="B6:B7"/>
    <mergeCell ref="B8:B9"/>
    <mergeCell ref="B10:B11"/>
    <mergeCell ref="B12:B13"/>
    <mergeCell ref="H17:I17"/>
    <mergeCell ref="H18:I18"/>
    <mergeCell ref="C17:D17"/>
    <mergeCell ref="C18:D18"/>
    <mergeCell ref="I4:M5"/>
    <mergeCell ref="I6:M7"/>
    <mergeCell ref="I8:M9"/>
    <mergeCell ref="I10:M11"/>
    <mergeCell ref="I12:M13"/>
  </mergeCells>
  <conditionalFormatting sqref="B4:H16">
    <cfRule type="containsErrors" dxfId="262" priority="5">
      <formula>ISERROR(B4)</formula>
    </cfRule>
  </conditionalFormatting>
  <conditionalFormatting sqref="B17:I20">
    <cfRule type="containsErrors" dxfId="261" priority="4">
      <formula>ISERROR(B17)</formula>
    </cfRule>
  </conditionalFormatting>
  <conditionalFormatting sqref="G18">
    <cfRule type="cellIs" dxfId="260" priority="3" operator="equal">
      <formula>0</formula>
    </cfRule>
  </conditionalFormatting>
  <conditionalFormatting sqref="I4:M15">
    <cfRule type="cellIs" dxfId="259" priority="2" operator="equal">
      <formula>0</formula>
    </cfRule>
  </conditionalFormatting>
  <pageMargins left="0.7" right="0.7" top="0.75" bottom="0.75" header="0.3" footer="0.3"/>
  <pageSetup paperSize="9" orientation="portrait" r:id="rId1"/>
  <ignoredErrors>
    <ignoredError sqref="E10:E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0"/>
  <dimension ref="A1:R304"/>
  <sheetViews>
    <sheetView showGridLines="0" showRowColHeaders="0" workbookViewId="0">
      <selection activeCell="X25" sqref="X25"/>
    </sheetView>
  </sheetViews>
  <sheetFormatPr defaultRowHeight="15"/>
  <cols>
    <col min="1" max="1" width="9.140625" style="3"/>
    <col min="2" max="2" width="9.140625" style="3" customWidth="1"/>
    <col min="3" max="4" width="15.7109375" style="3" customWidth="1"/>
    <col min="5" max="7" width="21.7109375" style="3" customWidth="1"/>
    <col min="8" max="8" width="9.140625" style="3"/>
    <col min="9" max="9" width="7.85546875" style="3" customWidth="1"/>
    <col min="10" max="10" width="9.140625" style="3"/>
    <col min="11" max="17" width="9.140625" style="3" hidden="1" customWidth="1"/>
    <col min="18" max="18" width="8" style="3" hidden="1" customWidth="1"/>
    <col min="19" max="19" width="9.140625" style="3" customWidth="1"/>
    <col min="20" max="16384" width="9.140625" style="3"/>
  </cols>
  <sheetData>
    <row r="1" spans="2:18">
      <c r="B1" s="135"/>
      <c r="C1" s="1021" t="s">
        <v>57</v>
      </c>
      <c r="D1" s="1021"/>
      <c r="E1" s="1021"/>
      <c r="F1" s="1021"/>
      <c r="G1" s="1021"/>
      <c r="H1" s="1021"/>
    </row>
    <row r="2" spans="2:18">
      <c r="B2" s="135"/>
      <c r="C2" s="1021"/>
      <c r="D2" s="1021"/>
      <c r="E2" s="1021"/>
      <c r="F2" s="1021"/>
      <c r="G2" s="1021"/>
      <c r="H2" s="1021"/>
    </row>
    <row r="3" spans="2:18" ht="31.5">
      <c r="B3" s="548" t="s">
        <v>661</v>
      </c>
      <c r="C3" s="549" t="s">
        <v>41</v>
      </c>
      <c r="D3" s="549" t="s">
        <v>59</v>
      </c>
      <c r="E3" s="549" t="s">
        <v>58</v>
      </c>
      <c r="F3" s="549" t="s">
        <v>54</v>
      </c>
      <c r="G3" s="880" t="s">
        <v>55</v>
      </c>
      <c r="H3" s="880"/>
    </row>
    <row r="4" spans="2:18" ht="15" customHeight="1">
      <c r="B4" s="1004" t="s">
        <v>46</v>
      </c>
      <c r="C4" s="712" t="s">
        <v>44</v>
      </c>
      <c r="D4" s="785">
        <f>Sismik!C9</f>
        <v>0</v>
      </c>
      <c r="E4" s="751" t="str">
        <f>Sismik!I8</f>
        <v/>
      </c>
      <c r="F4" s="752">
        <f>'P dalga Hızı'!F4</f>
        <v>0</v>
      </c>
      <c r="G4" s="1022">
        <f>Sismik!AB7</f>
        <v>0</v>
      </c>
      <c r="H4" s="1023"/>
      <c r="K4" s="48" t="str">
        <f>IF(D4=0,"100000",D4)</f>
        <v>100000</v>
      </c>
      <c r="L4" s="48" t="str">
        <f>IF(D5=0,"100000",D5)</f>
        <v>100000</v>
      </c>
      <c r="Q4" s="184">
        <f>D5</f>
        <v>0</v>
      </c>
      <c r="R4" s="3">
        <f>COUNTIF(Q4:Q9,"&gt;0")</f>
        <v>0</v>
      </c>
    </row>
    <row r="5" spans="2:18" ht="15" customHeight="1">
      <c r="B5" s="1005"/>
      <c r="C5" s="713" t="s">
        <v>45</v>
      </c>
      <c r="D5" s="786">
        <f>Sismik!D9</f>
        <v>0</v>
      </c>
      <c r="E5" s="754" t="str">
        <f>Sismik!K8</f>
        <v/>
      </c>
      <c r="F5" s="787">
        <f>'P dalga Hızı'!F5</f>
        <v>0</v>
      </c>
      <c r="G5" s="1011"/>
      <c r="H5" s="1012"/>
      <c r="K5" s="48" t="str">
        <f>IF(D6=0,"100000",D6)</f>
        <v>100000</v>
      </c>
      <c r="L5" s="48" t="str">
        <f>IF(D7=0,"100000",D7)</f>
        <v>100000</v>
      </c>
      <c r="Q5" s="184">
        <f>D7</f>
        <v>0</v>
      </c>
      <c r="R5" s="185">
        <f>Q4+Q5+Q6+Q7+Q8+Q9</f>
        <v>0</v>
      </c>
    </row>
    <row r="6" spans="2:18" ht="15" customHeight="1">
      <c r="B6" s="1006" t="s">
        <v>47</v>
      </c>
      <c r="C6" s="713" t="s">
        <v>44</v>
      </c>
      <c r="D6" s="786">
        <f>Sismik!C36</f>
        <v>0</v>
      </c>
      <c r="E6" s="754" t="str">
        <f>Sismik!I35</f>
        <v/>
      </c>
      <c r="F6" s="787">
        <f>'P dalga Hızı'!F6</f>
        <v>0</v>
      </c>
      <c r="G6" s="1009">
        <f>Sismik!AB9</f>
        <v>0</v>
      </c>
      <c r="H6" s="1010"/>
      <c r="K6" s="48" t="str">
        <f>IF(D8=0,"100000",D8)</f>
        <v>100000</v>
      </c>
      <c r="L6" s="48" t="str">
        <f>IF(D9=0,"100000",D9)</f>
        <v>100000</v>
      </c>
      <c r="Q6" s="184">
        <f>D9</f>
        <v>0</v>
      </c>
    </row>
    <row r="7" spans="2:18" ht="15" customHeight="1">
      <c r="B7" s="1005"/>
      <c r="C7" s="713" t="s">
        <v>45</v>
      </c>
      <c r="D7" s="786">
        <f>Sismik!D36</f>
        <v>0</v>
      </c>
      <c r="E7" s="754" t="str">
        <f>Sismik!K35</f>
        <v/>
      </c>
      <c r="F7" s="755">
        <f>'P dalga Hızı'!F7</f>
        <v>0</v>
      </c>
      <c r="G7" s="1011"/>
      <c r="H7" s="1012"/>
      <c r="K7" s="48" t="str">
        <f>IF(D10=0,"100000",D10)</f>
        <v>100000</v>
      </c>
      <c r="L7" s="48" t="str">
        <f>IF(D11=0,"100000",D11)</f>
        <v>100000</v>
      </c>
      <c r="Q7" s="184">
        <f>D11</f>
        <v>0</v>
      </c>
    </row>
    <row r="8" spans="2:18" ht="15" customHeight="1">
      <c r="B8" s="1006" t="s">
        <v>48</v>
      </c>
      <c r="C8" s="713" t="s">
        <v>44</v>
      </c>
      <c r="D8" s="786">
        <f>Sismik!C62</f>
        <v>0</v>
      </c>
      <c r="E8" s="754" t="str">
        <f>Sismik!I61</f>
        <v/>
      </c>
      <c r="F8" s="752">
        <f>'P dalga Hızı'!F8</f>
        <v>0</v>
      </c>
      <c r="G8" s="1009">
        <f>Sismik!AB11</f>
        <v>0</v>
      </c>
      <c r="H8" s="1010"/>
      <c r="K8" s="48" t="str">
        <f>IF(D12=0,"100000",D12)</f>
        <v>100000</v>
      </c>
      <c r="L8" s="48" t="str">
        <f>IF(D13=0,"100000",D13)</f>
        <v>100000</v>
      </c>
      <c r="Q8" s="184">
        <f>D13</f>
        <v>0</v>
      </c>
    </row>
    <row r="9" spans="2:18" ht="15" customHeight="1">
      <c r="B9" s="1005"/>
      <c r="C9" s="713" t="s">
        <v>45</v>
      </c>
      <c r="D9" s="786">
        <f>Sismik!D62</f>
        <v>0</v>
      </c>
      <c r="E9" s="754" t="str">
        <f>Sismik!K61</f>
        <v/>
      </c>
      <c r="F9" s="755">
        <f>'P dalga Hızı'!F9</f>
        <v>0</v>
      </c>
      <c r="G9" s="1011"/>
      <c r="H9" s="1012"/>
      <c r="K9" s="48" t="str">
        <f>IF(D14=0,"100000",D14)</f>
        <v>100000</v>
      </c>
      <c r="L9" s="48" t="str">
        <f>IF(D15=0,"100000",D15)</f>
        <v>100000</v>
      </c>
      <c r="Q9" s="184">
        <f>D15</f>
        <v>0</v>
      </c>
    </row>
    <row r="10" spans="2:18" ht="15" customHeight="1">
      <c r="B10" s="1006" t="s">
        <v>49</v>
      </c>
      <c r="C10" s="713" t="s">
        <v>44</v>
      </c>
      <c r="D10" s="786">
        <f>Sismik!C88</f>
        <v>0</v>
      </c>
      <c r="E10" s="754" t="str">
        <f>Sismik!I87</f>
        <v/>
      </c>
      <c r="F10" s="755">
        <f>'P dalga Hızı'!F10</f>
        <v>0</v>
      </c>
      <c r="G10" s="1009">
        <f>Sismik!AB13</f>
        <v>0</v>
      </c>
      <c r="H10" s="1010"/>
    </row>
    <row r="11" spans="2:18" ht="15" customHeight="1">
      <c r="B11" s="1005"/>
      <c r="C11" s="713" t="s">
        <v>45</v>
      </c>
      <c r="D11" s="786">
        <f>Sismik!D88</f>
        <v>0</v>
      </c>
      <c r="E11" s="754" t="str">
        <f>Sismik!K87</f>
        <v/>
      </c>
      <c r="F11" s="755">
        <f>'P dalga Hızı'!F11</f>
        <v>0</v>
      </c>
      <c r="G11" s="1011"/>
      <c r="H11" s="1012"/>
    </row>
    <row r="12" spans="2:18" ht="15" customHeight="1">
      <c r="B12" s="1006" t="s">
        <v>50</v>
      </c>
      <c r="C12" s="713" t="s">
        <v>44</v>
      </c>
      <c r="D12" s="786">
        <f>Sismik!C114</f>
        <v>0</v>
      </c>
      <c r="E12" s="754" t="str">
        <f>Sismik!I113</f>
        <v/>
      </c>
      <c r="F12" s="755">
        <f>'P dalga Hızı'!F12</f>
        <v>0</v>
      </c>
      <c r="G12" s="1009">
        <f>Sismik!AB15</f>
        <v>0</v>
      </c>
      <c r="H12" s="1010"/>
    </row>
    <row r="13" spans="2:18" ht="15" customHeight="1">
      <c r="B13" s="1005"/>
      <c r="C13" s="713" t="s">
        <v>45</v>
      </c>
      <c r="D13" s="786">
        <f>Sismik!D114</f>
        <v>0</v>
      </c>
      <c r="E13" s="754" t="str">
        <f>Sismik!K113</f>
        <v/>
      </c>
      <c r="F13" s="781">
        <f>'P dalga Hızı'!F13</f>
        <v>0</v>
      </c>
      <c r="G13" s="1011"/>
      <c r="H13" s="1012"/>
    </row>
    <row r="14" spans="2:18" ht="15" customHeight="1">
      <c r="B14" s="1004" t="s">
        <v>51</v>
      </c>
      <c r="C14" s="712" t="s">
        <v>44</v>
      </c>
      <c r="D14" s="785">
        <f>Sismik!C140</f>
        <v>0</v>
      </c>
      <c r="E14" s="751" t="str">
        <f>Sismik!I139</f>
        <v/>
      </c>
      <c r="F14" s="781">
        <f>'P dalga Hızı'!F14</f>
        <v>0</v>
      </c>
      <c r="G14" s="1009">
        <f>Sismik!AB17</f>
        <v>0</v>
      </c>
      <c r="H14" s="1010"/>
    </row>
    <row r="15" spans="2:18" ht="15" customHeight="1">
      <c r="B15" s="1005"/>
      <c r="C15" s="713" t="s">
        <v>45</v>
      </c>
      <c r="D15" s="786">
        <f>Sismik!D140</f>
        <v>0</v>
      </c>
      <c r="E15" s="754" t="str">
        <f>Sismik!K139</f>
        <v/>
      </c>
      <c r="F15" s="781">
        <f>'P dalga Hızı'!F15</f>
        <v>0</v>
      </c>
      <c r="G15" s="1011"/>
      <c r="H15" s="1012"/>
    </row>
    <row r="17" spans="1:16">
      <c r="B17" s="1007" t="s">
        <v>180</v>
      </c>
      <c r="C17" s="1007"/>
      <c r="D17" s="1007"/>
      <c r="E17" s="183">
        <f>MIN(K4:K9)</f>
        <v>0</v>
      </c>
      <c r="F17" s="183">
        <f>MAX(K4:K9)</f>
        <v>0</v>
      </c>
      <c r="G17" s="178" t="str">
        <f>IF(AND(E17&gt;1.2,E17&lt;=1.4),"Düşük",IF(AND(E17&gt;1.4,E17&lt;=1.9),"Orta",IF(AND(E17&gt;1.9,E17&lt;=2.2),"Yüksek",IF(E17=0,"",IF(AND(E17&lt;1.2,E17&gt;0.1),"Çok Düşük")))))</f>
        <v/>
      </c>
      <c r="H17" s="863" t="str">
        <f>IF(AND(F17&gt;1.2,F17&lt;=1.4),"Düşük",IF(AND(F17&gt;1.4,F17&lt;=1.9),"Orta",IF(AND(F17&gt;1.9,F17&lt;=2.2),"Yüksek",IF(F17=0,"",IF(AND(F17&lt;1.2,F17&gt;0.1),"Çok Düşük")))))</f>
        <v/>
      </c>
      <c r="I17" s="872" t="b">
        <f t="shared" ref="I17:I18" si="0">IF(AND(G17&gt;1.2,G17&lt;=1.4),"Düşük",IF(AND(G17&gt;1.4,G17&lt;=1.9),"Orta",IF(AND(G17&gt;1.9,G17&lt;=2.2),"Yüksek",IF(G17=0,"",IF(AND(G17&lt;1.2,G17&lt;0.1),"Çok Düşük")))))</f>
        <v>0</v>
      </c>
      <c r="J17" s="3" t="s">
        <v>133</v>
      </c>
    </row>
    <row r="18" spans="1:16">
      <c r="B18" s="1007" t="s">
        <v>181</v>
      </c>
      <c r="C18" s="1007"/>
      <c r="D18" s="1007"/>
      <c r="E18" s="156">
        <f>MIN(L4:L9)</f>
        <v>0</v>
      </c>
      <c r="F18" s="156">
        <f>MAX(L4:L9)</f>
        <v>0</v>
      </c>
      <c r="G18" s="178" t="str">
        <f>IF(AND(E18&gt;1.2,E18&lt;=1.4),"Düşük",IF(AND(E18&gt;1.4,E18&lt;=1.9),"Orta",IF(AND(E18&gt;1.9,E18&lt;=2.2),"Yüksek",IF(E18=0,"",IF(AND(E18&lt;1.2,E18&gt;0.1),"Çok Düşük",IF(E18&gt;2.2,"Çok Yüksek"))))))</f>
        <v/>
      </c>
      <c r="H18" s="863" t="str">
        <f>IF(AND(F18&gt;1.2,F18&lt;=1.4),"Düşük",IF(AND(F18&gt;1.4,F18&lt;=1.9),"Orta",IF(AND(F18&gt;1.9,F18&lt;=2.2),"Yüksek",IF(F18=0,"",IF(AND(F18&lt;1.2,F18&gt;0.1),"Çok Düşük",IF(F18&gt;2.2,"Çok Yüksek"))))))</f>
        <v/>
      </c>
      <c r="I18" s="872" t="b">
        <f t="shared" si="0"/>
        <v>0</v>
      </c>
      <c r="J18" s="3" t="s">
        <v>133</v>
      </c>
    </row>
    <row r="23" spans="1:16">
      <c r="A23" s="1325" t="s">
        <v>207</v>
      </c>
      <c r="B23" s="1326"/>
      <c r="C23" s="1326"/>
      <c r="D23" s="1327"/>
      <c r="E23" s="167" t="e">
        <f>R5/R4</f>
        <v>#DIV/0!</v>
      </c>
      <c r="F23" s="863" t="e">
        <f>IF(AND(E23&gt;1.2,E23&lt;=1.4),"Düşük",IF(AND(E23&gt;1.4,E23&lt;=1.9),"Orta",IF(AND(E23&gt;1.9,E23&lt;=2.2),"Yüksek",IF(E23=0,"",IF(AND(E23&lt;1.2,E23&gt;0.1),"Çok Düşük",IF(E23&gt;2.2,"Çok Yüksek"))))))</f>
        <v>#DIV/0!</v>
      </c>
      <c r="G23" s="872"/>
    </row>
    <row r="28" spans="1:16">
      <c r="A28" s="1338"/>
      <c r="B28" s="1338"/>
      <c r="C28" s="1338"/>
      <c r="D28" s="1338"/>
      <c r="E28" s="1338"/>
      <c r="K28" s="48" t="str">
        <f>IF(C29=0,"100000",C29)</f>
        <v>100000</v>
      </c>
      <c r="L28" s="48" t="str">
        <f>IF(C30=0,"100000",C30)</f>
        <v>100000</v>
      </c>
      <c r="O28" s="184">
        <f>C30</f>
        <v>0</v>
      </c>
      <c r="P28" s="3">
        <f>COUNTIF(Q4:Q9,"&gt;0")</f>
        <v>0</v>
      </c>
    </row>
    <row r="29" spans="1:16">
      <c r="A29" s="1336"/>
      <c r="B29" s="88"/>
      <c r="C29" s="336"/>
      <c r="D29" s="1238"/>
      <c r="E29" s="1237"/>
      <c r="K29" s="48" t="str">
        <f>IF(C31=0,"100000",C31)</f>
        <v>100000</v>
      </c>
      <c r="L29" s="48" t="str">
        <f>IF(C32=0,"100000",C32)</f>
        <v>100000</v>
      </c>
      <c r="O29" s="184">
        <f>C32</f>
        <v>0</v>
      </c>
      <c r="P29" s="185">
        <f>O28+O29+O30+O31+O32+O33</f>
        <v>0</v>
      </c>
    </row>
    <row r="30" spans="1:16">
      <c r="A30" s="1336"/>
      <c r="B30" s="88"/>
      <c r="C30" s="81"/>
      <c r="D30" s="1337"/>
      <c r="E30" s="1337"/>
      <c r="K30" s="48" t="str">
        <f>IF(C33=0,"100000",C33)</f>
        <v>100000</v>
      </c>
      <c r="L30" s="48" t="str">
        <f>IF(C34=0,"100000",C34)</f>
        <v>100000</v>
      </c>
      <c r="O30" s="184">
        <f>C34</f>
        <v>0</v>
      </c>
    </row>
    <row r="31" spans="1:16">
      <c r="A31" s="1336"/>
      <c r="B31" s="88"/>
      <c r="C31" s="336"/>
      <c r="D31" s="1337"/>
      <c r="E31" s="1337"/>
      <c r="K31" s="48" t="str">
        <f>IF(C35=0,"100000",C35)</f>
        <v>100000</v>
      </c>
      <c r="L31" s="48" t="str">
        <f>IF(C36=0,"100000",C36)</f>
        <v>100000</v>
      </c>
      <c r="O31" s="184">
        <f>C36</f>
        <v>0</v>
      </c>
    </row>
    <row r="32" spans="1:16">
      <c r="A32" s="1336"/>
      <c r="B32" s="88"/>
      <c r="C32" s="81"/>
      <c r="D32" s="1337"/>
      <c r="E32" s="1337"/>
      <c r="K32" s="48" t="str">
        <f>IF(C37=0,"100000",C37)</f>
        <v>100000</v>
      </c>
      <c r="L32" s="48" t="str">
        <f>IF(C38=0,"100000",C38)</f>
        <v>100000</v>
      </c>
      <c r="O32" s="184">
        <f>C38</f>
        <v>0</v>
      </c>
    </row>
    <row r="33" spans="1:15">
      <c r="A33" s="1336"/>
      <c r="B33" s="88"/>
      <c r="C33" s="336"/>
      <c r="D33" s="1337"/>
      <c r="E33" s="1337"/>
      <c r="K33" s="48" t="str">
        <f>IF(C39=0,"100000",C39)</f>
        <v>100000</v>
      </c>
      <c r="L33" s="48" t="str">
        <f>IF(C40=0,"100000",C40)</f>
        <v>100000</v>
      </c>
      <c r="O33" s="184">
        <f>C40</f>
        <v>0</v>
      </c>
    </row>
    <row r="34" spans="1:15">
      <c r="A34" s="1336"/>
      <c r="B34" s="88"/>
      <c r="C34" s="81"/>
      <c r="D34" s="1337"/>
      <c r="E34" s="1337"/>
      <c r="K34" s="48"/>
      <c r="L34" s="48"/>
    </row>
    <row r="35" spans="1:15">
      <c r="A35" s="1336"/>
      <c r="B35" s="88"/>
      <c r="C35" s="336"/>
      <c r="D35" s="1337"/>
      <c r="E35" s="1337"/>
      <c r="K35" s="48"/>
      <c r="L35" s="48"/>
    </row>
    <row r="36" spans="1:15">
      <c r="A36" s="1336"/>
      <c r="B36" s="88"/>
      <c r="C36" s="81"/>
      <c r="D36" s="1337"/>
      <c r="E36" s="1337"/>
      <c r="K36" s="48"/>
      <c r="L36" s="48"/>
    </row>
    <row r="37" spans="1:15">
      <c r="A37" s="1336"/>
      <c r="B37" s="88"/>
      <c r="C37" s="336"/>
      <c r="D37" s="1337"/>
      <c r="E37" s="1337"/>
      <c r="K37" s="48"/>
      <c r="L37" s="48"/>
    </row>
    <row r="38" spans="1:15">
      <c r="A38" s="1336"/>
      <c r="B38" s="88"/>
      <c r="C38" s="81"/>
      <c r="D38" s="1337"/>
      <c r="E38" s="1337"/>
    </row>
    <row r="39" spans="1:15">
      <c r="A39" s="1336"/>
      <c r="B39" s="88"/>
      <c r="C39" s="336"/>
      <c r="D39" s="1337"/>
      <c r="E39" s="1337"/>
    </row>
    <row r="40" spans="1:15">
      <c r="A40" s="1336"/>
      <c r="B40" s="88"/>
      <c r="C40" s="81"/>
      <c r="D40" s="1238"/>
      <c r="E40" s="1237"/>
    </row>
    <row r="41" spans="1:15">
      <c r="C41" s="186"/>
      <c r="D41" s="1337"/>
      <c r="E41" s="1337"/>
    </row>
    <row r="42" spans="1:15">
      <c r="D42" s="1337"/>
      <c r="E42" s="1337"/>
    </row>
    <row r="43" spans="1:15">
      <c r="A43" s="984"/>
      <c r="B43" s="984"/>
      <c r="C43" s="984"/>
      <c r="D43" s="984"/>
      <c r="E43" s="63"/>
      <c r="F43" s="1107"/>
      <c r="G43" s="1107"/>
    </row>
    <row r="300" spans="1:2">
      <c r="A300" s="3" t="s">
        <v>438</v>
      </c>
      <c r="B300" s="3">
        <f>COUNTIF(E4:E15,"Düşük")</f>
        <v>0</v>
      </c>
    </row>
    <row r="301" spans="1:2">
      <c r="A301" s="3" t="s">
        <v>425</v>
      </c>
      <c r="B301" s="3">
        <f>COUNTIF(E4:E15,"Orta")</f>
        <v>0</v>
      </c>
    </row>
    <row r="302" spans="1:2">
      <c r="A302" s="3" t="s">
        <v>433</v>
      </c>
      <c r="B302" s="3">
        <f>COUNTIF(E4:E15,"Yüksek")</f>
        <v>0</v>
      </c>
    </row>
    <row r="303" spans="1:2">
      <c r="A303" s="3" t="s">
        <v>439</v>
      </c>
      <c r="B303" s="3">
        <f>COUNTIF(E4:E15,"Çok Düşük")</f>
        <v>0</v>
      </c>
    </row>
    <row r="304" spans="1:2">
      <c r="A304" s="3" t="s">
        <v>434</v>
      </c>
      <c r="B304" s="3">
        <f>COUNTIF(E4:E15,"Çok Yüksek")</f>
        <v>0</v>
      </c>
    </row>
  </sheetData>
  <sheetProtection algorithmName="SHA-512" hashValue="Y6X2VcGRXhBR4fuokJsgoLzqyiLMn9rQM5ixtIO2DAcrlQ2T38fbJEwyYtuDxKDg68SO1AqIqpsTwZwW0xu6iA==" saltValue="w+hnsNHpGSSI7G0uDfxM7g==" spinCount="100000" sheet="1" objects="1" scenarios="1"/>
  <mergeCells count="43">
    <mergeCell ref="C1:H2"/>
    <mergeCell ref="G3:H3"/>
    <mergeCell ref="G4:H5"/>
    <mergeCell ref="G6:H7"/>
    <mergeCell ref="D35:E35"/>
    <mergeCell ref="H17:I17"/>
    <mergeCell ref="H18:I18"/>
    <mergeCell ref="B17:D17"/>
    <mergeCell ref="B18:D18"/>
    <mergeCell ref="A23:D23"/>
    <mergeCell ref="D29:E29"/>
    <mergeCell ref="D30:E30"/>
    <mergeCell ref="D31:E31"/>
    <mergeCell ref="F23:G23"/>
    <mergeCell ref="A28:E28"/>
    <mergeCell ref="A29:A30"/>
    <mergeCell ref="D36:E36"/>
    <mergeCell ref="D42:E42"/>
    <mergeCell ref="A43:D43"/>
    <mergeCell ref="F43:G43"/>
    <mergeCell ref="D37:E37"/>
    <mergeCell ref="D38:E38"/>
    <mergeCell ref="D39:E39"/>
    <mergeCell ref="D40:E40"/>
    <mergeCell ref="D41:E41"/>
    <mergeCell ref="A39:A40"/>
    <mergeCell ref="A35:A36"/>
    <mergeCell ref="A37:A38"/>
    <mergeCell ref="B4:B5"/>
    <mergeCell ref="B6:B7"/>
    <mergeCell ref="B8:B9"/>
    <mergeCell ref="B10:B11"/>
    <mergeCell ref="B12:B13"/>
    <mergeCell ref="A31:A32"/>
    <mergeCell ref="D32:E32"/>
    <mergeCell ref="D33:E33"/>
    <mergeCell ref="G8:H9"/>
    <mergeCell ref="G10:H11"/>
    <mergeCell ref="G12:H13"/>
    <mergeCell ref="G14:H15"/>
    <mergeCell ref="A33:A34"/>
    <mergeCell ref="B14:B15"/>
    <mergeCell ref="D34:E34"/>
  </mergeCells>
  <conditionalFormatting sqref="A29:E40">
    <cfRule type="containsErrors" dxfId="258" priority="2">
      <formula>ISERROR(A29)</formula>
    </cfRule>
  </conditionalFormatting>
  <conditionalFormatting sqref="A4:F15 I4:J15 A16:J23">
    <cfRule type="containsErrors" dxfId="257" priority="3">
      <formula>ISERROR(A4)</formula>
    </cfRule>
  </conditionalFormatting>
  <conditionalFormatting sqref="A43:G43">
    <cfRule type="containsErrors" dxfId="256" priority="1">
      <formula>ISERROR(A43)</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1"/>
  <dimension ref="A1:R310"/>
  <sheetViews>
    <sheetView showGridLines="0" showRowColHeaders="0" workbookViewId="0">
      <selection activeCell="J33" sqref="J33:M33"/>
    </sheetView>
  </sheetViews>
  <sheetFormatPr defaultRowHeight="15"/>
  <cols>
    <col min="1" max="1" width="9.140625" style="3"/>
    <col min="2" max="2" width="9.140625" style="3" customWidth="1"/>
    <col min="3" max="4" width="15.7109375" style="3" customWidth="1"/>
    <col min="5" max="7" width="21.7109375" style="3" customWidth="1"/>
    <col min="8" max="8" width="7.5703125" style="3" customWidth="1"/>
    <col min="9" max="9" width="8.42578125" style="3" customWidth="1"/>
    <col min="10" max="10" width="9.140625" style="3"/>
    <col min="11" max="11" width="9.140625" style="3" hidden="1" customWidth="1"/>
    <col min="12" max="12" width="0" style="3" hidden="1" customWidth="1"/>
    <col min="13" max="15" width="9.140625" style="3"/>
    <col min="16" max="16" width="0" style="3" hidden="1" customWidth="1"/>
    <col min="17" max="16384" width="9.140625" style="3"/>
  </cols>
  <sheetData>
    <row r="1" spans="2:16">
      <c r="B1" s="135"/>
      <c r="C1" s="1345" t="s">
        <v>352</v>
      </c>
      <c r="D1" s="1345"/>
      <c r="E1" s="1345"/>
      <c r="F1" s="1345"/>
      <c r="G1" s="135" t="s">
        <v>351</v>
      </c>
      <c r="H1" s="135"/>
    </row>
    <row r="2" spans="2:16">
      <c r="B2" s="135"/>
      <c r="C2" s="1345"/>
      <c r="D2" s="1345"/>
      <c r="E2" s="1345"/>
      <c r="F2" s="1345"/>
      <c r="G2" s="135"/>
      <c r="H2" s="135"/>
    </row>
    <row r="3" spans="2:16" ht="31.5">
      <c r="B3" s="548" t="s">
        <v>661</v>
      </c>
      <c r="C3" s="549" t="s">
        <v>41</v>
      </c>
      <c r="D3" s="549" t="s">
        <v>60</v>
      </c>
      <c r="E3" s="549" t="s">
        <v>61</v>
      </c>
      <c r="F3" s="549" t="s">
        <v>54</v>
      </c>
      <c r="G3" s="880" t="s">
        <v>55</v>
      </c>
      <c r="H3" s="880"/>
    </row>
    <row r="4" spans="2:16" ht="15" customHeight="1">
      <c r="B4" s="1348" t="s">
        <v>46</v>
      </c>
      <c r="C4" s="710" t="s">
        <v>44</v>
      </c>
      <c r="D4" s="782" t="str">
        <f>IF(ISERROR(Sismik!C10),"",Sismik!C10)</f>
        <v/>
      </c>
      <c r="E4" s="751" t="str">
        <f>Sismik!I10</f>
        <v/>
      </c>
      <c r="F4" s="752">
        <f>'P dalga Hızı'!F4</f>
        <v>0</v>
      </c>
      <c r="G4" s="1022">
        <f>'P dalga Hızı'!G4</f>
        <v>0</v>
      </c>
      <c r="H4" s="1023"/>
      <c r="K4" s="48" t="str">
        <f>IF(D4=0,"100000",D4)</f>
        <v/>
      </c>
      <c r="L4" s="48" t="str">
        <f>IF(D5=0,"100000",D5)</f>
        <v/>
      </c>
      <c r="P4" s="3">
        <f>COUNTIF(P5:P10,"&gt;0")</f>
        <v>0</v>
      </c>
    </row>
    <row r="5" spans="2:16" ht="15" customHeight="1">
      <c r="B5" s="1349"/>
      <c r="C5" s="711" t="s">
        <v>45</v>
      </c>
      <c r="D5" s="783" t="str">
        <f>IF(ISERROR(Sismik!D10),"",Sismik!D10)</f>
        <v/>
      </c>
      <c r="E5" s="754" t="str">
        <f>Sismik!K10</f>
        <v/>
      </c>
      <c r="F5" s="755">
        <f>'P dalga Hızı'!F5</f>
        <v>0</v>
      </c>
      <c r="G5" s="1011"/>
      <c r="H5" s="1012"/>
      <c r="K5" s="48" t="str">
        <f>IF(D6=0,"100000",D6)</f>
        <v/>
      </c>
      <c r="L5" s="48" t="str">
        <f>IF(D7=0,"100000",D7)</f>
        <v/>
      </c>
      <c r="P5" s="48" t="str">
        <f>D5</f>
        <v/>
      </c>
    </row>
    <row r="6" spans="2:16" ht="15" customHeight="1">
      <c r="B6" s="1350" t="s">
        <v>47</v>
      </c>
      <c r="C6" s="711" t="s">
        <v>44</v>
      </c>
      <c r="D6" s="783" t="str">
        <f>IF(ISERROR(Sismik!C37),"",Sismik!C37)</f>
        <v/>
      </c>
      <c r="E6" s="754" t="str">
        <f>Sismik!I37</f>
        <v/>
      </c>
      <c r="F6" s="755">
        <f>'P dalga Hızı'!F6</f>
        <v>0</v>
      </c>
      <c r="G6" s="1009">
        <f>'P dalga Hızı'!G6</f>
        <v>0</v>
      </c>
      <c r="H6" s="1010"/>
      <c r="K6" s="48" t="str">
        <f>IF(D8=0,"100000",D8)</f>
        <v/>
      </c>
      <c r="L6" s="48" t="str">
        <f>IF(D9=0,"100000",D9)</f>
        <v/>
      </c>
      <c r="P6" s="48" t="str">
        <f>D7</f>
        <v/>
      </c>
    </row>
    <row r="7" spans="2:16" ht="15" customHeight="1">
      <c r="B7" s="1349"/>
      <c r="C7" s="711" t="s">
        <v>45</v>
      </c>
      <c r="D7" s="783" t="str">
        <f>IF(ISERROR(Sismik!D37),"",Sismik!D37)</f>
        <v/>
      </c>
      <c r="E7" s="754" t="str">
        <f>Sismik!K37</f>
        <v/>
      </c>
      <c r="F7" s="755">
        <f>'P dalga Hızı'!F7</f>
        <v>0</v>
      </c>
      <c r="G7" s="1011"/>
      <c r="H7" s="1012"/>
      <c r="K7" s="48" t="str">
        <f>IF(D10=0,"100000",D10)</f>
        <v/>
      </c>
      <c r="L7" s="48" t="str">
        <f>IF(D11=0,"100000",D11)</f>
        <v/>
      </c>
      <c r="P7" s="48" t="str">
        <f>D9</f>
        <v/>
      </c>
    </row>
    <row r="8" spans="2:16" ht="15" customHeight="1">
      <c r="B8" s="1350" t="s">
        <v>48</v>
      </c>
      <c r="C8" s="711" t="s">
        <v>44</v>
      </c>
      <c r="D8" s="783" t="str">
        <f>IF(ISERROR(Sismik!C63),"",Sismik!C63)</f>
        <v/>
      </c>
      <c r="E8" s="754" t="str">
        <f>Sismik!I63</f>
        <v/>
      </c>
      <c r="F8" s="755">
        <f>'P dalga Hızı'!F8</f>
        <v>0</v>
      </c>
      <c r="G8" s="1009">
        <f>'P dalga Hızı'!G8</f>
        <v>0</v>
      </c>
      <c r="H8" s="1010"/>
      <c r="K8" s="48" t="str">
        <f>IF(D12=0,"100000",D12)</f>
        <v/>
      </c>
      <c r="L8" s="48" t="str">
        <f>IF(D13=0,"100000",D13)</f>
        <v/>
      </c>
      <c r="P8" s="48" t="str">
        <f>D11</f>
        <v/>
      </c>
    </row>
    <row r="9" spans="2:16" ht="15" customHeight="1">
      <c r="B9" s="1349"/>
      <c r="C9" s="711" t="s">
        <v>45</v>
      </c>
      <c r="D9" s="783" t="str">
        <f>IF(ISERROR(Sismik!D63),"",Sismik!D63)</f>
        <v/>
      </c>
      <c r="E9" s="754" t="str">
        <f>Sismik!K63</f>
        <v/>
      </c>
      <c r="F9" s="755">
        <f>'P dalga Hızı'!F9</f>
        <v>0</v>
      </c>
      <c r="G9" s="1011"/>
      <c r="H9" s="1012"/>
      <c r="K9" s="48" t="str">
        <f>IF(D14=0,"100000",D14)</f>
        <v/>
      </c>
      <c r="L9" s="48" t="str">
        <f>IF(D15=0,"100000",D15)</f>
        <v/>
      </c>
      <c r="P9" s="48" t="str">
        <f>D13</f>
        <v/>
      </c>
    </row>
    <row r="10" spans="2:16" ht="15" customHeight="1">
      <c r="B10" s="1350" t="s">
        <v>49</v>
      </c>
      <c r="C10" s="711" t="s">
        <v>44</v>
      </c>
      <c r="D10" s="783" t="str">
        <f>IF(ISERROR(Sismik!C89),"",Sismik!C89)</f>
        <v/>
      </c>
      <c r="E10" s="754" t="str">
        <f>Sismik!I89</f>
        <v/>
      </c>
      <c r="F10" s="755">
        <f>'P dalga Hızı'!F10</f>
        <v>0</v>
      </c>
      <c r="G10" s="1009">
        <f>'P dalga Hızı'!G10</f>
        <v>0</v>
      </c>
      <c r="H10" s="1010"/>
      <c r="P10" s="48" t="str">
        <f>D15</f>
        <v/>
      </c>
    </row>
    <row r="11" spans="2:16" ht="15" customHeight="1">
      <c r="B11" s="1349"/>
      <c r="C11" s="711" t="s">
        <v>45</v>
      </c>
      <c r="D11" s="783" t="str">
        <f>IF(ISERROR(Sismik!D89),"",Sismik!D89)</f>
        <v/>
      </c>
      <c r="E11" s="754" t="str">
        <f>Sismik!K89</f>
        <v/>
      </c>
      <c r="F11" s="755">
        <f>'P dalga Hızı'!F11</f>
        <v>0</v>
      </c>
      <c r="G11" s="1011"/>
      <c r="H11" s="1012"/>
      <c r="P11" s="48">
        <f>SUM(P5:P10)</f>
        <v>0</v>
      </c>
    </row>
    <row r="12" spans="2:16" ht="15" customHeight="1">
      <c r="B12" s="1350" t="s">
        <v>50</v>
      </c>
      <c r="C12" s="711" t="s">
        <v>44</v>
      </c>
      <c r="D12" s="783" t="str">
        <f>IF(ISERROR(Sismik!C115),"",Sismik!C115)</f>
        <v/>
      </c>
      <c r="E12" s="754" t="str">
        <f>Sismik!I115</f>
        <v/>
      </c>
      <c r="F12" s="755">
        <f>'P dalga Hızı'!F12</f>
        <v>0</v>
      </c>
      <c r="G12" s="1009">
        <f>'P dalga Hızı'!G12</f>
        <v>0</v>
      </c>
      <c r="H12" s="1010"/>
    </row>
    <row r="13" spans="2:16" ht="15" customHeight="1">
      <c r="B13" s="1349"/>
      <c r="C13" s="711" t="s">
        <v>45</v>
      </c>
      <c r="D13" s="783" t="str">
        <f>IF(ISERROR(Sismik!D115),"",Sismik!D115)</f>
        <v/>
      </c>
      <c r="E13" s="754" t="str">
        <f>Sismik!K115</f>
        <v/>
      </c>
      <c r="F13" s="755">
        <f>'P dalga Hızı'!F13</f>
        <v>0</v>
      </c>
      <c r="G13" s="1011"/>
      <c r="H13" s="1012"/>
    </row>
    <row r="14" spans="2:16" ht="15" customHeight="1">
      <c r="B14" s="1348" t="s">
        <v>51</v>
      </c>
      <c r="C14" s="710" t="s">
        <v>44</v>
      </c>
      <c r="D14" s="783" t="str">
        <f>IF(ISERROR(Sismik!C141),"",Sismik!C141)</f>
        <v/>
      </c>
      <c r="E14" s="751" t="str">
        <f>Sismik!I141</f>
        <v/>
      </c>
      <c r="F14" s="755">
        <f>'P dalga Hızı'!F14</f>
        <v>0</v>
      </c>
      <c r="G14" s="1009">
        <f>'P dalga Hızı'!G14</f>
        <v>0</v>
      </c>
      <c r="H14" s="1010"/>
    </row>
    <row r="15" spans="2:16" ht="15" customHeight="1">
      <c r="B15" s="1349"/>
      <c r="C15" s="711" t="s">
        <v>45</v>
      </c>
      <c r="D15" s="784" t="str">
        <f>IF(ISERROR(Sismik!D141),"",Sismik!D141)</f>
        <v/>
      </c>
      <c r="E15" s="754" t="str">
        <f>Sismik!K141</f>
        <v/>
      </c>
      <c r="F15" s="781">
        <f>'P dalga Hızı'!F15</f>
        <v>0</v>
      </c>
      <c r="G15" s="1011"/>
      <c r="H15" s="1012"/>
    </row>
    <row r="17" spans="1:18">
      <c r="C17" s="1007" t="s">
        <v>144</v>
      </c>
      <c r="D17" s="1007"/>
      <c r="E17" s="156">
        <f>MIN(K4:K9)</f>
        <v>0</v>
      </c>
      <c r="F17" s="156">
        <f>MAX(K4:K9)</f>
        <v>0</v>
      </c>
      <c r="G17" s="178" t="str">
        <f>IF(AND(E17&gt;1.5,E17&lt;=1.71),"Katı",IF(AND(E17&gt;1.71,E17&lt;=1.87),"Sıkı-Katı",IF(AND(E17&gt;1.87,E17&lt;=2.49),"Gevşek",IF(AND(E17&gt;2.49,E17&lt;=3),"Çok Gevşek",IF(AND(E17&lt;=1.5,E17&gt;0.01),"Sağlam Kaya",IF(E17&gt;3,"Cıvık-Sıvı",IF(E17=0,"")))))))</f>
        <v/>
      </c>
      <c r="H17" s="863" t="str">
        <f>IF(AND(F17&gt;1.5,F17&lt;=1.71),"Katı",IF(AND(F17&gt;1.71,F17&lt;=1.87),"Sıkı-Katı",IF(AND(F17&gt;1.87,F17&lt;=2.49),"Gevşek",IF(AND(F17&gt;2.49,F17&lt;=3),"Çok Gevşek",IF(AND(F17&lt;=1.5,F17&gt;0.01),"Sağlam Kaya",IF(F17&gt;3,"Cıvık-Sıvı",IF(F17=0,"")))))))</f>
        <v/>
      </c>
      <c r="I17" s="872" t="str">
        <f t="shared" ref="I17" si="0">IF(ISERROR(IF(AND(G17&gt;1.5,G17&lt;=1.71),"Katı",IF(AND(G17&gt;1.71,G17&lt;=1.87),"Sıkı-Katı",IF(AND(G17&gt;1.87,G17&lt;=2.49),"Gevşek",IF(AND(G17&gt;2.49,G17&lt;=3),"Çok Gevşek",IF(G17&lt;=1.5,"Sağlam Kaya",IF(G17&gt;3,"Cıvık-Sıvı"))))))),"",IF(AND(G17&gt;1.5,G17&lt;=1.71),"Katı",IF(AND(G17&gt;1.71,G17&lt;=1.87),"Sıkı-Katı",IF(AND(G17&gt;1.87,G17&lt;=2.49),"Gevşek",IF(AND(G17&gt;2.49,G17&lt;=3),"Çok Gevşek",IF(G17&lt;=1.5,"Sağlam Kaya",IF(G17&gt;3,"Cıvık-Sıvı")))))))</f>
        <v>Cıvık-Sıvı</v>
      </c>
      <c r="J17" s="3" t="s">
        <v>133</v>
      </c>
    </row>
    <row r="18" spans="1:18">
      <c r="C18" s="1007" t="s">
        <v>145</v>
      </c>
      <c r="D18" s="1007"/>
      <c r="E18" s="156">
        <f>MIN(L4:L9)</f>
        <v>0</v>
      </c>
      <c r="F18" s="156">
        <f>MAX(L4:L9)</f>
        <v>0</v>
      </c>
      <c r="G18" s="178" t="str">
        <f>IF(AND(E18&gt;1.5,E18&lt;=1.71),"Katı",IF(AND(E18&gt;1.71,E18&lt;=1.87),"Sıkı-Katı",IF(AND(E18&gt;1.87,E18&lt;=2.49),"Gevşek",IF(AND(E18&gt;2.49,E18&lt;=3),"Çok Gevşek",IF(AND(E18&lt;=1.5,E18&gt;0.01),"Sağlam Kaya",IF(E18&gt;3,"Cıvık-Sıvı",IF(E18=0,"")))))))</f>
        <v/>
      </c>
      <c r="H18" s="863" t="str">
        <f>IF(AND(F18&gt;1.5,F18&lt;=1.71),"Katı",IF(AND(F18&gt;1.71,F18&lt;=1.87),"Sıkı-Katı",IF(AND(F18&gt;1.87,F18&lt;=2.49),"Gevşek",IF(AND(F18&gt;2.49,F18&lt;=3),"Çok Gevşek",IF(AND(F18&lt;=1.5,F18&gt;0.01),"Sağlam Kaya",IF(F18&gt;3,"Cıvık-Sıvı",IF(F18=0,"")))))))</f>
        <v/>
      </c>
      <c r="I18" s="872" t="str">
        <f t="shared" ref="I18" si="1">IF(ISERROR(IF(AND(G18&gt;1.5,G18&lt;=1.71),"Katı",IF(AND(G18&gt;1.71,G18&lt;=1.87),"Sıkı-Katı",IF(AND(G18&gt;1.87,G18&lt;=2.49),"Gevşek",IF(AND(G18&gt;2.49,G18&lt;=3),"Çok Gevşek",IF(G18&lt;=1.5,"Sağlam Kaya",IF(G18&gt;3,"Cıvık-Sıvı"))))))),"",IF(AND(G18&gt;1.5,G18&lt;=1.71),"Katı",IF(AND(G18&gt;1.71,G18&lt;=1.87),"Sıkı-Katı",IF(AND(G18&gt;1.87,G18&lt;=2.49),"Gevşek",IF(AND(G18&gt;2.49,G18&lt;=3),"Çok Gevşek",IF(G18&lt;=1.5,"Sağlam Kaya",IF(G18&gt;3,"Cıvık-Sıvı")))))))</f>
        <v>Cıvık-Sıvı</v>
      </c>
      <c r="J18" s="3" t="s">
        <v>133</v>
      </c>
    </row>
    <row r="23" spans="1:18">
      <c r="A23" s="1325" t="s">
        <v>205</v>
      </c>
      <c r="B23" s="1326"/>
      <c r="C23" s="1326"/>
      <c r="D23" s="1326"/>
      <c r="E23" s="1327"/>
      <c r="F23" s="276" t="e">
        <f>P11/P4</f>
        <v>#DIV/0!</v>
      </c>
      <c r="G23" s="1346" t="str">
        <f>IF(ISERROR(IF(AND(F23&gt;1.5,F23&lt;=1.71),"Katı",IF(AND(F23&gt;1.72,F23&lt;=1.87),"Sıkı-Katı",IF(AND(F23&gt;1.87,F23&lt;=2.49),"Gevşek",IF(AND(F23&gt;2.49,F23&lt;=3),"Çok Gevşek",IF(F23&lt;=1.5,"Sağlam Kaya",IF(F23&gt;3,"Cıvık-Sıvı"))))))),"",IF(AND(F23&gt;1.5,F23&lt;=1.71),"Katı",IF(AND(F23&gt;1.72,F23&lt;=1.87),"Sıkı-Katı",IF(AND(F23&gt;1.87,F23&lt;=2.49),"Gevşek",IF(AND(F23&gt;2.49,F23&lt;=3),"Çok Gevşek",IF(F23&lt;=1.5,"Sağlam Kaya",IF(F23&gt;3,"Cıvık-Sıvı")))))))</f>
        <v/>
      </c>
      <c r="H23" s="1347"/>
    </row>
    <row r="25" spans="1:18">
      <c r="A25" s="1340"/>
      <c r="B25" s="1340"/>
      <c r="C25" s="1340"/>
      <c r="D25" s="1340"/>
      <c r="E25" s="1340"/>
      <c r="F25" s="821"/>
      <c r="G25" s="1340"/>
      <c r="H25" s="1340"/>
    </row>
    <row r="26" spans="1:18">
      <c r="A26" s="88"/>
      <c r="B26" s="88"/>
      <c r="C26" s="88"/>
      <c r="D26" s="88"/>
      <c r="E26" s="88"/>
      <c r="F26" s="88"/>
      <c r="G26" s="88"/>
      <c r="H26" s="88"/>
    </row>
    <row r="27" spans="1:18">
      <c r="A27" s="88"/>
      <c r="B27" s="88"/>
      <c r="C27" s="1342" t="s">
        <v>809</v>
      </c>
      <c r="D27" s="1342"/>
      <c r="E27" s="1342"/>
      <c r="F27" s="88"/>
      <c r="G27" s="1339"/>
      <c r="H27" s="1339"/>
      <c r="J27" s="1352"/>
      <c r="K27" s="984"/>
      <c r="L27" s="984"/>
      <c r="M27" s="984"/>
      <c r="N27" s="984"/>
    </row>
    <row r="28" spans="1:18">
      <c r="A28" s="88"/>
      <c r="B28" s="88"/>
      <c r="C28" s="826" t="s">
        <v>810</v>
      </c>
      <c r="D28" s="1343" t="str">
        <f>IF(E17&gt;3,"Sıvılaşma Beklenir","Sıvılaşma beklenmez")</f>
        <v>Sıvılaşma beklenmez</v>
      </c>
      <c r="E28" s="1343"/>
      <c r="F28" s="88"/>
      <c r="G28" s="822"/>
      <c r="H28" s="822"/>
      <c r="J28" s="1104"/>
      <c r="K28" s="1104"/>
      <c r="L28" s="1104"/>
      <c r="M28" s="1104"/>
      <c r="N28" s="157"/>
      <c r="R28" s="48"/>
    </row>
    <row r="29" spans="1:18" ht="15.75" customHeight="1">
      <c r="A29" s="88"/>
      <c r="B29" s="88"/>
      <c r="C29" s="826" t="s">
        <v>811</v>
      </c>
      <c r="D29" s="1344" t="str">
        <f>IF(E18&gt;3,"Sıvılaşma Beklenir","Sıvılaşma beklenmez")</f>
        <v>Sıvılaşma beklenmez</v>
      </c>
      <c r="E29" s="1344"/>
      <c r="F29" s="88"/>
      <c r="G29" s="823"/>
      <c r="H29" s="824"/>
      <c r="J29" s="1353"/>
      <c r="K29" s="1353"/>
      <c r="L29" s="1353"/>
      <c r="M29" s="1353"/>
      <c r="N29" s="257"/>
    </row>
    <row r="30" spans="1:18" ht="15.75" customHeight="1">
      <c r="A30" s="88"/>
      <c r="B30" s="88"/>
      <c r="C30" s="825"/>
      <c r="D30" s="1341"/>
      <c r="E30" s="1341"/>
      <c r="F30" s="88"/>
      <c r="G30" s="823"/>
      <c r="H30" s="824"/>
      <c r="J30" s="1353"/>
      <c r="K30" s="1353"/>
      <c r="L30" s="1353"/>
      <c r="M30" s="1353"/>
      <c r="N30" s="257"/>
    </row>
    <row r="31" spans="1:18" ht="15.75" customHeight="1">
      <c r="A31" s="88"/>
      <c r="B31" s="88"/>
      <c r="C31" s="825"/>
      <c r="D31" s="1341"/>
      <c r="E31" s="1341"/>
      <c r="F31" s="88"/>
      <c r="G31" s="823"/>
      <c r="H31" s="824"/>
      <c r="J31" s="1353"/>
      <c r="K31" s="1353"/>
      <c r="L31" s="1353"/>
      <c r="M31" s="1353"/>
      <c r="N31" s="257"/>
    </row>
    <row r="32" spans="1:18" ht="15.75" customHeight="1">
      <c r="A32" s="88"/>
      <c r="B32" s="88"/>
      <c r="C32" s="825"/>
      <c r="D32" s="1341"/>
      <c r="E32" s="1341"/>
      <c r="F32" s="88"/>
      <c r="G32" s="823"/>
      <c r="H32" s="824"/>
      <c r="J32" s="1353"/>
      <c r="K32" s="1353"/>
      <c r="L32" s="1353"/>
      <c r="M32" s="1353"/>
      <c r="N32" s="257"/>
    </row>
    <row r="33" spans="1:14" ht="15.75">
      <c r="A33" s="88"/>
      <c r="B33" s="88"/>
      <c r="C33" s="825"/>
      <c r="D33" s="1341"/>
      <c r="E33" s="1341"/>
      <c r="F33" s="88"/>
      <c r="G33" s="825"/>
      <c r="H33" s="825"/>
      <c r="J33" s="1353"/>
      <c r="K33" s="1353"/>
      <c r="L33" s="1353"/>
      <c r="M33" s="1353"/>
      <c r="N33" s="257"/>
    </row>
    <row r="34" spans="1:14" ht="15.75">
      <c r="A34" s="88"/>
      <c r="B34" s="88"/>
      <c r="C34" s="825"/>
      <c r="D34" s="1244"/>
      <c r="E34" s="1244"/>
      <c r="F34" s="88"/>
      <c r="G34" s="825"/>
      <c r="H34" s="825"/>
      <c r="J34" s="1353"/>
      <c r="K34" s="1353"/>
      <c r="L34" s="1353"/>
      <c r="M34" s="1353"/>
      <c r="N34" s="257"/>
    </row>
    <row r="35" spans="1:14">
      <c r="A35" s="88"/>
      <c r="B35" s="88"/>
      <c r="C35" s="88"/>
      <c r="D35" s="88"/>
      <c r="E35" s="88"/>
      <c r="F35" s="88"/>
      <c r="G35" s="88"/>
      <c r="H35" s="88"/>
    </row>
    <row r="36" spans="1:14">
      <c r="A36" s="88"/>
      <c r="B36" s="61"/>
      <c r="C36" s="157" t="s">
        <v>358</v>
      </c>
      <c r="D36" s="1104" t="s">
        <v>162</v>
      </c>
      <c r="E36" s="1104"/>
      <c r="F36" s="88"/>
      <c r="G36" s="88"/>
      <c r="H36" s="88"/>
    </row>
    <row r="37" spans="1:14" ht="21.75" customHeight="1">
      <c r="A37" s="88"/>
      <c r="B37" s="61"/>
      <c r="C37" s="827"/>
      <c r="D37" s="1351"/>
      <c r="E37" s="1351"/>
      <c r="F37" s="88"/>
      <c r="G37" s="88"/>
      <c r="H37" s="88"/>
    </row>
    <row r="38" spans="1:14" ht="21" customHeight="1">
      <c r="C38" s="134"/>
      <c r="D38" s="1058"/>
      <c r="E38" s="1058"/>
    </row>
    <row r="39" spans="1:14" ht="15.75">
      <c r="C39" s="134"/>
      <c r="D39" s="1058"/>
      <c r="E39" s="1058"/>
    </row>
    <row r="40" spans="1:14" ht="15.75" customHeight="1">
      <c r="C40" s="134"/>
      <c r="D40" s="1058"/>
      <c r="E40" s="1058"/>
    </row>
    <row r="41" spans="1:14" ht="15.75">
      <c r="C41" s="134"/>
      <c r="D41" s="1058"/>
      <c r="E41" s="1058"/>
    </row>
    <row r="42" spans="1:14" ht="15.75">
      <c r="C42" s="134"/>
      <c r="D42" s="1107"/>
      <c r="E42" s="1107"/>
    </row>
    <row r="300" spans="1:2">
      <c r="A300" s="3" t="s">
        <v>172</v>
      </c>
      <c r="B300" s="3">
        <f>COUNTIF(E4:E15,"Katı")</f>
        <v>0</v>
      </c>
    </row>
    <row r="301" spans="1:2">
      <c r="A301" s="3" t="s">
        <v>436</v>
      </c>
      <c r="B301" s="3">
        <f>COUNTIF(E4:E15,"Sıkı-Katı")</f>
        <v>0</v>
      </c>
    </row>
    <row r="302" spans="1:2">
      <c r="A302" s="3" t="s">
        <v>170</v>
      </c>
      <c r="B302" s="3">
        <f>COUNTIF(E4:E15,"Gevşek")</f>
        <v>0</v>
      </c>
    </row>
    <row r="303" spans="1:2">
      <c r="A303" s="3" t="s">
        <v>169</v>
      </c>
      <c r="B303" s="3">
        <f>COUNTIF(E4:E15,"Çok Gevşek")</f>
        <v>0</v>
      </c>
    </row>
    <row r="304" spans="1:2">
      <c r="A304" s="3" t="s">
        <v>173</v>
      </c>
      <c r="B304" s="3">
        <f>COUNTIF(E4:E15,"Sağlam Kaya")</f>
        <v>0</v>
      </c>
    </row>
    <row r="305" spans="1:2">
      <c r="A305" s="3" t="s">
        <v>437</v>
      </c>
      <c r="B305" s="3">
        <f>COUNTIF(E4:E15,"Cıvık-Sıvı")</f>
        <v>0</v>
      </c>
    </row>
    <row r="307" spans="1:2">
      <c r="A307" s="3" t="s">
        <v>249</v>
      </c>
      <c r="B307" s="3">
        <f>COUNTIF(N29:N34,"Z1")</f>
        <v>0</v>
      </c>
    </row>
    <row r="308" spans="1:2">
      <c r="A308" s="3" t="s">
        <v>250</v>
      </c>
      <c r="B308" s="3">
        <f>COUNTIF(N29:N34,"Z2")</f>
        <v>0</v>
      </c>
    </row>
    <row r="309" spans="1:2">
      <c r="A309" s="3" t="s">
        <v>251</v>
      </c>
      <c r="B309" s="3">
        <f>COUNTIF(N29:N34,"Z3")</f>
        <v>0</v>
      </c>
    </row>
    <row r="310" spans="1:2">
      <c r="A310" s="3" t="s">
        <v>252</v>
      </c>
      <c r="B310" s="3">
        <f>COUNTIF(N29:N34,"Z4")</f>
        <v>0</v>
      </c>
    </row>
  </sheetData>
  <sheetProtection algorithmName="SHA-512" hashValue="wlOYzzMnUkSsvOqRqfnFkCkzXWhNIWwqBWYk8tI8Ny10lPIfTnzdmrF1jD3K+utx+Jk0LCu8A3CsL/Mn37wBbQ==" saltValue="eKkZKfH2iiBwapTjmW1//g==" spinCount="100000" sheet="1" objects="1" scenarios="1"/>
  <mergeCells count="46">
    <mergeCell ref="J27:N27"/>
    <mergeCell ref="J33:M33"/>
    <mergeCell ref="J34:M34"/>
    <mergeCell ref="J28:M28"/>
    <mergeCell ref="J29:M29"/>
    <mergeCell ref="J30:M30"/>
    <mergeCell ref="J31:M31"/>
    <mergeCell ref="J32:M32"/>
    <mergeCell ref="D39:E39"/>
    <mergeCell ref="D40:E40"/>
    <mergeCell ref="D41:E41"/>
    <mergeCell ref="D42:E42"/>
    <mergeCell ref="D36:E36"/>
    <mergeCell ref="D37:E37"/>
    <mergeCell ref="D38:E38"/>
    <mergeCell ref="C1:F2"/>
    <mergeCell ref="C17:D17"/>
    <mergeCell ref="A23:E23"/>
    <mergeCell ref="G23:H23"/>
    <mergeCell ref="B14:B15"/>
    <mergeCell ref="B4:B5"/>
    <mergeCell ref="B6:B7"/>
    <mergeCell ref="B8:B9"/>
    <mergeCell ref="B10:B11"/>
    <mergeCell ref="B12:B13"/>
    <mergeCell ref="H17:I17"/>
    <mergeCell ref="H18:I18"/>
    <mergeCell ref="C18:D18"/>
    <mergeCell ref="G3:H3"/>
    <mergeCell ref="G14:H15"/>
    <mergeCell ref="G4:H5"/>
    <mergeCell ref="A25:E25"/>
    <mergeCell ref="G25:H25"/>
    <mergeCell ref="D32:E32"/>
    <mergeCell ref="D33:E33"/>
    <mergeCell ref="D34:E34"/>
    <mergeCell ref="C27:E27"/>
    <mergeCell ref="D28:E28"/>
    <mergeCell ref="D29:E29"/>
    <mergeCell ref="D30:E30"/>
    <mergeCell ref="D31:E31"/>
    <mergeCell ref="G6:H7"/>
    <mergeCell ref="G8:H9"/>
    <mergeCell ref="G10:H11"/>
    <mergeCell ref="G12:H13"/>
    <mergeCell ref="G27:H27"/>
  </mergeCells>
  <conditionalFormatting sqref="A4:G4 I4:I15 A5:F5 A6:G6 A7:F7 A8:G8 A9:F9 A10:G10 A11:F11 A12:G12 A13:F13 A14:G14 A15:F15 A16:I24">
    <cfRule type="containsErrors" dxfId="255" priority="11">
      <formula>ISERROR(A4)</formula>
    </cfRule>
  </conditionalFormatting>
  <conditionalFormatting sqref="D28:E29">
    <cfRule type="expression" dxfId="254" priority="1">
      <formula>$E$17=0</formula>
    </cfRule>
    <cfRule type="containsText" dxfId="253" priority="2" operator="containsText" text="Sıvılaşma Beklenmez">
      <formula>NOT(ISERROR(SEARCH("Sıvılaşma Beklenmez",D28)))</formula>
    </cfRule>
    <cfRule type="containsText" dxfId="252" priority="3" operator="containsText" text="sıvılaşma Beklenir">
      <formula>NOT(ISERROR(SEARCH("sıvılaşma Beklenir",D28)))</formula>
    </cfRule>
  </conditionalFormatting>
  <conditionalFormatting sqref="F25:H25">
    <cfRule type="containsErrors" dxfId="251" priority="9">
      <formula>ISERROR(F25)</formula>
    </cfRule>
  </conditionalFormatting>
  <conditionalFormatting sqref="G25:H25">
    <cfRule type="expression" dxfId="250" priority="6">
      <formula>$F$25=0</formula>
    </cfRule>
  </conditionalFormatting>
  <conditionalFormatting sqref="J29:N34">
    <cfRule type="containsErrors" dxfId="249" priority="4">
      <formula>ISERROR(J29)</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2"/>
  <dimension ref="A1:AX406"/>
  <sheetViews>
    <sheetView showGridLines="0" showRowColHeaders="0" topLeftCell="Q1" workbookViewId="0">
      <selection activeCell="AR10" sqref="AR10"/>
    </sheetView>
  </sheetViews>
  <sheetFormatPr defaultRowHeight="15"/>
  <cols>
    <col min="2" max="2" width="8.140625" customWidth="1"/>
    <col min="3" max="3" width="12.5703125" customWidth="1"/>
    <col min="4" max="4" width="15.7109375" customWidth="1"/>
    <col min="5" max="5" width="20.85546875" customWidth="1"/>
    <col min="6" max="6" width="22.42578125" customWidth="1"/>
    <col min="7" max="7" width="22.7109375" customWidth="1"/>
    <col min="8" max="9" width="21.28515625" customWidth="1"/>
    <col min="10" max="10" width="12.7109375" customWidth="1"/>
    <col min="11" max="16" width="9.140625" hidden="1" customWidth="1"/>
    <col min="17" max="17" width="12.7109375" customWidth="1"/>
    <col min="20" max="20" width="9.140625" customWidth="1"/>
    <col min="21" max="21" width="8.85546875" customWidth="1"/>
    <col min="28" max="28" width="10.7109375" customWidth="1"/>
    <col min="30" max="30" width="12.42578125" customWidth="1"/>
    <col min="36" max="36" width="12.140625" customWidth="1"/>
    <col min="39" max="43" width="9.140625" hidden="1" customWidth="1"/>
    <col min="44" max="44" width="9.140625" customWidth="1"/>
  </cols>
  <sheetData>
    <row r="1" spans="1:50" ht="15" customHeight="1">
      <c r="A1" s="1422"/>
      <c r="B1" s="1422"/>
      <c r="D1" s="880" t="s">
        <v>135</v>
      </c>
      <c r="E1" s="880"/>
      <c r="F1" s="880"/>
      <c r="G1" s="880"/>
      <c r="H1" s="880"/>
      <c r="I1" s="880"/>
      <c r="J1" s="68"/>
      <c r="U1" s="61"/>
    </row>
    <row r="2" spans="1:50">
      <c r="A2" s="1422"/>
      <c r="B2" s="1422"/>
      <c r="D2" s="880"/>
      <c r="E2" s="880"/>
      <c r="F2" s="880"/>
      <c r="G2" s="880"/>
      <c r="H2" s="880"/>
      <c r="I2" s="880"/>
      <c r="J2" s="68"/>
      <c r="Q2" s="370"/>
      <c r="R2" s="1428" t="s">
        <v>606</v>
      </c>
      <c r="S2" s="1428"/>
      <c r="T2" s="1428"/>
      <c r="U2" s="1428"/>
      <c r="V2" s="1428"/>
      <c r="W2" s="1428"/>
      <c r="X2" s="1428"/>
      <c r="Y2" s="1428"/>
      <c r="AC2" s="370" t="s">
        <v>235</v>
      </c>
    </row>
    <row r="3" spans="1:50" ht="45.75" thickBot="1">
      <c r="A3" s="1422"/>
      <c r="B3" s="1422"/>
      <c r="D3" s="548" t="s">
        <v>661</v>
      </c>
      <c r="E3" s="549" t="s">
        <v>195</v>
      </c>
      <c r="F3" s="549" t="s">
        <v>65</v>
      </c>
      <c r="G3" s="549" t="s">
        <v>194</v>
      </c>
      <c r="H3" s="549" t="s">
        <v>65</v>
      </c>
      <c r="I3" s="549" t="s">
        <v>210</v>
      </c>
      <c r="J3" s="65"/>
      <c r="K3" s="11"/>
      <c r="R3" s="550" t="s">
        <v>73</v>
      </c>
      <c r="S3" s="549" t="s">
        <v>805</v>
      </c>
      <c r="T3" s="549" t="s">
        <v>80</v>
      </c>
      <c r="U3" s="551" t="s">
        <v>477</v>
      </c>
      <c r="V3" s="551" t="s">
        <v>478</v>
      </c>
      <c r="W3" s="880" t="s">
        <v>65</v>
      </c>
      <c r="X3" s="880"/>
      <c r="Y3" s="880"/>
      <c r="Z3" s="880" t="s">
        <v>86</v>
      </c>
      <c r="AA3" s="880"/>
      <c r="AC3" s="551" t="s">
        <v>73</v>
      </c>
      <c r="AD3" s="551" t="s">
        <v>220</v>
      </c>
      <c r="AE3" s="880" t="s">
        <v>65</v>
      </c>
      <c r="AF3" s="880"/>
      <c r="AG3" s="880"/>
      <c r="AH3" s="880" t="s">
        <v>86</v>
      </c>
      <c r="AI3" s="880"/>
    </row>
    <row r="4" spans="1:50" ht="15.75">
      <c r="A4" s="1422"/>
      <c r="B4" s="1422"/>
      <c r="D4" s="730" t="s">
        <v>46</v>
      </c>
      <c r="E4" s="725" t="str">
        <f>IF(ISERROR(Sismik!C22),"",Sismik!C22)</f>
        <v/>
      </c>
      <c r="F4" s="708" t="str">
        <f>Sismik!I22</f>
        <v/>
      </c>
      <c r="G4" s="725" t="str">
        <f>IF(ISERROR(Sismik!C23),"",Sismik!C23)</f>
        <v/>
      </c>
      <c r="H4" s="723" t="str">
        <f>Sismik!I23</f>
        <v/>
      </c>
      <c r="I4" s="723" t="e">
        <f>1.67*(LOG(6750/(Sismik!C7*Sismik!C9)))</f>
        <v>#DIV/0!</v>
      </c>
      <c r="J4" s="1385"/>
      <c r="K4" s="11"/>
      <c r="L4" s="40" t="str">
        <f>IF(E4=0,"100000",E4)</f>
        <v/>
      </c>
      <c r="M4" s="40" t="str">
        <f>IF(G4=0,"100000",G4)</f>
        <v/>
      </c>
      <c r="O4" s="40" t="e">
        <f>#REF!</f>
        <v>#REF!</v>
      </c>
      <c r="P4" s="40" t="e">
        <f>#REF!</f>
        <v>#REF!</v>
      </c>
      <c r="R4" s="729" t="s">
        <v>74</v>
      </c>
      <c r="S4" s="788"/>
      <c r="T4" s="789" t="e">
        <f>ROUND(1/S4,2)</f>
        <v>#DIV/0!</v>
      </c>
      <c r="U4" s="789" t="e">
        <f>ROUND(0.67*T4,2)</f>
        <v>#DIV/0!</v>
      </c>
      <c r="V4" s="790" t="e">
        <f>ROUND(1.5*T4,2)</f>
        <v>#DIV/0!</v>
      </c>
      <c r="W4" s="1396" t="e">
        <f t="shared" ref="W4:W9" si="0">IF(AND(T4&gt;0.3,T4&lt;=0.5),"B - Orta Tehlike",IF(AND(T4&gt;0.5,T4&lt;=0.7),"C - Yüksek Tehlike",IF(AND(T4&lt;=0.3,T4&gt;0.01),"A - Düşük Tehlike",IF(T4&gt;0.7,"D - Çok Yüksek Tehlike",IF(T4=0,"")))))</f>
        <v>#DIV/0!</v>
      </c>
      <c r="X4" s="1397"/>
      <c r="Y4" s="1398"/>
      <c r="Z4" s="1429">
        <f>Sismik!AB7</f>
        <v>0</v>
      </c>
      <c r="AA4" s="1430"/>
      <c r="AC4" s="726" t="s">
        <v>74</v>
      </c>
      <c r="AD4" s="796"/>
      <c r="AE4" s="1399" t="e">
        <f>IF(AND(AD4&gt;2.5,AD4&lt;=4),"Orta Tehlike",IF(AND(AD4&gt;4,AD4&lt;=6.5),"Yüksek Tehlike",IF(AND(AD4&gt;0,AD4&lt;=2.5),"Düşük Tehlike",IF(AD4&gt;6.5,"Çok Yüksek Tehlike",IF(AD4=YALNIŞ,"")))))</f>
        <v>#NAME?</v>
      </c>
      <c r="AF4" s="1400"/>
      <c r="AG4" s="1401"/>
      <c r="AH4" s="1414">
        <f t="shared" ref="AH4:AH9" si="1">Z4</f>
        <v>0</v>
      </c>
      <c r="AI4" s="1415"/>
      <c r="AN4" s="380" t="str">
        <f>IFERROR(T4,"")</f>
        <v/>
      </c>
      <c r="AO4" s="380" t="str">
        <f>IFERROR(U4,"")</f>
        <v/>
      </c>
      <c r="AP4" s="523" t="str">
        <f>IFERROR(V4,"")</f>
        <v/>
      </c>
      <c r="AX4" s="380"/>
    </row>
    <row r="5" spans="1:50" ht="15.75">
      <c r="A5" s="1422"/>
      <c r="B5" s="1422"/>
      <c r="D5" s="711" t="s">
        <v>47</v>
      </c>
      <c r="E5" s="725" t="str">
        <f>IF(ISERROR(Sismik!C49),"",Sismik!C49)</f>
        <v/>
      </c>
      <c r="F5" s="709" t="str">
        <f>Sismik!I49</f>
        <v/>
      </c>
      <c r="G5" s="724" t="str">
        <f>IF(ISERROR( Sismik!C50),"", Sismik!C50)</f>
        <v/>
      </c>
      <c r="H5" s="724" t="str">
        <f>Sismik!I50</f>
        <v/>
      </c>
      <c r="I5" s="724" t="e">
        <f>1.67*(LOG(6750/(Sismik!C34*Sismik!C36)))</f>
        <v>#DIV/0!</v>
      </c>
      <c r="J5" s="1385"/>
      <c r="K5" s="11"/>
      <c r="L5" s="40" t="e">
        <f>IF(#REF!=0,"100000",#REF!)</f>
        <v>#REF!</v>
      </c>
      <c r="M5" s="40" t="e">
        <f>IF(#REF!=0,"100000",#REF!)</f>
        <v>#REF!</v>
      </c>
      <c r="O5" s="40" t="e">
        <f>#REF!</f>
        <v>#REF!</v>
      </c>
      <c r="P5" s="40" t="e">
        <f>#REF!</f>
        <v>#REF!</v>
      </c>
      <c r="R5" s="726" t="s">
        <v>75</v>
      </c>
      <c r="S5" s="791"/>
      <c r="T5" s="776" t="e">
        <f t="shared" ref="T5:T9" si="2">ROUND(1/S5,2)</f>
        <v>#DIV/0!</v>
      </c>
      <c r="U5" s="765" t="e">
        <f>ROUND(0.67*T5,2)</f>
        <v>#DIV/0!</v>
      </c>
      <c r="V5" s="792" t="e">
        <f t="shared" ref="V5:V9" si="3">ROUND(1.5*T5,2)</f>
        <v>#DIV/0!</v>
      </c>
      <c r="W5" s="1399" t="e">
        <f t="shared" si="0"/>
        <v>#DIV/0!</v>
      </c>
      <c r="X5" s="1400"/>
      <c r="Y5" s="1401"/>
      <c r="Z5" s="1414">
        <f>Sismik!AB9</f>
        <v>0</v>
      </c>
      <c r="AA5" s="1415"/>
      <c r="AC5" s="727" t="s">
        <v>75</v>
      </c>
      <c r="AD5" s="797"/>
      <c r="AE5" s="1019" t="e">
        <f>IF(AND(AD5&gt;2.5,AD5&lt;=4),"Orta Tehlike",IF(AND(AD5&gt;4,AD5&lt;=6.5),"Yüksek Tehlike",IF(AND(AD5&gt;0,AD5&lt;=2.5),"Düşük Tehlike",IF(AD5&gt;6.5,"Çok Yüksek Tehlike",IF(AD4=YALNIŞ,"")))))</f>
        <v>#NAME?</v>
      </c>
      <c r="AF5" s="1402"/>
      <c r="AG5" s="1020"/>
      <c r="AH5" s="1416">
        <f t="shared" si="1"/>
        <v>0</v>
      </c>
      <c r="AI5" s="1417"/>
      <c r="AN5" s="380" t="str">
        <f t="shared" ref="AN5:AN9" si="4">IFERROR(T5,"")</f>
        <v/>
      </c>
      <c r="AO5" s="380" t="str">
        <f t="shared" ref="AO5:AO9" si="5">IFERROR(U5,"")</f>
        <v/>
      </c>
      <c r="AP5" s="523" t="str">
        <f t="shared" ref="AP5:AP9" si="6">IFERROR(V5,"")</f>
        <v/>
      </c>
      <c r="AX5" s="380"/>
    </row>
    <row r="6" spans="1:50" ht="15.75">
      <c r="A6" s="1422"/>
      <c r="B6" s="1422"/>
      <c r="D6" s="711" t="s">
        <v>48</v>
      </c>
      <c r="E6" s="724" t="str">
        <f>IF(ISERROR(Sismik!C75),"",Sismik!C75)</f>
        <v/>
      </c>
      <c r="F6" s="709" t="str">
        <f>Sismik!I75</f>
        <v/>
      </c>
      <c r="G6" s="724" t="str">
        <f>IF(ISERROR(Sismik!C76),"",Sismik!C76)</f>
        <v/>
      </c>
      <c r="H6" s="724" t="str">
        <f>Sismik!I76</f>
        <v/>
      </c>
      <c r="I6" s="724" t="e">
        <f>1.67*(LOG(6750/(Sismik!C60*Sismik!C62)))</f>
        <v>#DIV/0!</v>
      </c>
      <c r="J6" s="1385"/>
      <c r="K6" s="11"/>
      <c r="L6" s="40" t="str">
        <f>IF(E5=0,"100000",E5)</f>
        <v/>
      </c>
      <c r="M6" s="40" t="str">
        <f>IF(G5=0,"100000",G5)</f>
        <v/>
      </c>
      <c r="O6" s="40" t="e">
        <f>#REF!</f>
        <v>#REF!</v>
      </c>
      <c r="P6" s="40" t="e">
        <f>#REF!</f>
        <v>#REF!</v>
      </c>
      <c r="R6" s="727" t="s">
        <v>76</v>
      </c>
      <c r="S6" s="791"/>
      <c r="T6" s="769" t="e">
        <f t="shared" si="2"/>
        <v>#DIV/0!</v>
      </c>
      <c r="U6" s="774" t="e">
        <f t="shared" ref="U6:U9" si="7">ROUND(0.67*T6,2)</f>
        <v>#DIV/0!</v>
      </c>
      <c r="V6" s="793" t="e">
        <f t="shared" si="3"/>
        <v>#DIV/0!</v>
      </c>
      <c r="W6" s="1019" t="e">
        <f t="shared" si="0"/>
        <v>#DIV/0!</v>
      </c>
      <c r="X6" s="1402"/>
      <c r="Y6" s="1020"/>
      <c r="Z6" s="1416">
        <f>Sismik!AB11</f>
        <v>0</v>
      </c>
      <c r="AA6" s="1417"/>
      <c r="AC6" s="727" t="s">
        <v>76</v>
      </c>
      <c r="AD6" s="797"/>
      <c r="AE6" s="1019" t="e">
        <f>IF(AND(AD6&gt;2.5,AD6&lt;=4),"Orta Tehlike",IF(AND(AD6&gt;4,AD6&lt;=6.5),"Yüksek Tehlike",IF(AND(AD6&gt;0,AD6&lt;=2.5),"Düşük Tehlike",IF(AD6&gt;6.5,"Çok Yüksek Tehlike",IF(AD5=YALNIŞ,"")))))</f>
        <v>#NAME?</v>
      </c>
      <c r="AF6" s="1402"/>
      <c r="AG6" s="1020"/>
      <c r="AH6" s="1416">
        <f t="shared" si="1"/>
        <v>0</v>
      </c>
      <c r="AI6" s="1417"/>
      <c r="AN6" s="380" t="str">
        <f t="shared" si="4"/>
        <v/>
      </c>
      <c r="AO6" s="380" t="str">
        <f t="shared" si="5"/>
        <v/>
      </c>
      <c r="AP6" s="523" t="str">
        <f t="shared" si="6"/>
        <v/>
      </c>
      <c r="AX6" s="380"/>
    </row>
    <row r="7" spans="1:50" ht="15.75">
      <c r="A7" s="1422"/>
      <c r="B7" s="1422"/>
      <c r="D7" s="711" t="s">
        <v>49</v>
      </c>
      <c r="E7" s="724" t="str">
        <f>IF(ISERROR(Sismik!C101),"",Sismik!C101)</f>
        <v/>
      </c>
      <c r="F7" s="709" t="str">
        <f>Sismik!I101</f>
        <v/>
      </c>
      <c r="G7" s="725" t="str">
        <f>IF(ISERROR(Sismik!C102),"",Sismik!C102)</f>
        <v/>
      </c>
      <c r="H7" s="724" t="str">
        <f>Sismik!I102</f>
        <v/>
      </c>
      <c r="I7" s="724" t="e">
        <f>1.67*(LOG(6750/(Sismik!C86*Sismik!C88)))</f>
        <v>#DIV/0!</v>
      </c>
      <c r="J7" s="1385"/>
      <c r="K7" s="11"/>
      <c r="L7" s="40" t="e">
        <f>IF(#REF!=0,"100000",#REF!)</f>
        <v>#REF!</v>
      </c>
      <c r="M7" s="40" t="e">
        <f>IF(#REF!=0,"100000",#REF!)</f>
        <v>#REF!</v>
      </c>
      <c r="O7" s="40">
        <f>E11</f>
        <v>0</v>
      </c>
      <c r="P7" s="40">
        <f>G11</f>
        <v>0</v>
      </c>
      <c r="R7" s="727" t="s">
        <v>77</v>
      </c>
      <c r="S7" s="791"/>
      <c r="T7" s="769" t="e">
        <f t="shared" si="2"/>
        <v>#DIV/0!</v>
      </c>
      <c r="U7" s="774" t="e">
        <f t="shared" si="7"/>
        <v>#DIV/0!</v>
      </c>
      <c r="V7" s="793" t="e">
        <f t="shared" si="3"/>
        <v>#DIV/0!</v>
      </c>
      <c r="W7" s="1019" t="e">
        <f t="shared" si="0"/>
        <v>#DIV/0!</v>
      </c>
      <c r="X7" s="1402"/>
      <c r="Y7" s="1020"/>
      <c r="Z7" s="1416">
        <f>Sismik!AB13</f>
        <v>0</v>
      </c>
      <c r="AA7" s="1417"/>
      <c r="AC7" s="727" t="s">
        <v>77</v>
      </c>
      <c r="AD7" s="797"/>
      <c r="AE7" s="1019" t="e">
        <f>IF(AND(AD7&gt;2.5,AD7&lt;=4),"Orta Tehlike",IF(AND(AD7&gt;4,AD7&lt;=6.5),"Yüksek Tehlike",IF(AND(AD7&gt;0,AD7&lt;=2.5),"Düşük Tehlike",IF(AD7&gt;6.5,"Çok Yüksek Tehlike",IF(AD6=YALNIŞ,"")))))</f>
        <v>#NAME?</v>
      </c>
      <c r="AF7" s="1402"/>
      <c r="AG7" s="1020"/>
      <c r="AH7" s="1416">
        <f t="shared" si="1"/>
        <v>0</v>
      </c>
      <c r="AI7" s="1417"/>
      <c r="AN7" s="380" t="str">
        <f t="shared" si="4"/>
        <v/>
      </c>
      <c r="AO7" s="380" t="str">
        <f t="shared" si="5"/>
        <v/>
      </c>
      <c r="AP7" s="523" t="str">
        <f t="shared" si="6"/>
        <v/>
      </c>
      <c r="AX7" s="380"/>
    </row>
    <row r="8" spans="1:50" ht="15.75">
      <c r="A8" s="1422"/>
      <c r="B8" s="1422"/>
      <c r="D8" s="711" t="s">
        <v>50</v>
      </c>
      <c r="E8" s="724" t="str">
        <f>IF(ISERROR(Sismik!C127),"",  Sismik!C127)</f>
        <v/>
      </c>
      <c r="F8" s="709" t="str">
        <f>IF(ISERROR(Sismik!I127),"",Sismik!I127)</f>
        <v/>
      </c>
      <c r="G8" s="724" t="str">
        <f>IF(ISERROR( Sismik!C128),"", Sismik!C128)</f>
        <v/>
      </c>
      <c r="H8" s="724" t="str">
        <f>Sismik!I128</f>
        <v/>
      </c>
      <c r="I8" s="724" t="e">
        <f>1.67*(LOG(6750/(Sismik!C112*Sismik!C114)))</f>
        <v>#DIV/0!</v>
      </c>
      <c r="J8" s="1385"/>
      <c r="K8" s="11"/>
      <c r="L8" s="40" t="str">
        <f>IF(E6=0,"100000",E6)</f>
        <v/>
      </c>
      <c r="M8" s="40" t="str">
        <f>IF(G6=0,"100000",G6)</f>
        <v/>
      </c>
      <c r="O8" s="40" t="str">
        <f>E13</f>
        <v>VS30 ort =</v>
      </c>
      <c r="P8" s="40" t="str">
        <f>G13</f>
        <v/>
      </c>
      <c r="R8" s="727" t="s">
        <v>78</v>
      </c>
      <c r="S8" s="791"/>
      <c r="T8" s="769" t="e">
        <f t="shared" si="2"/>
        <v>#DIV/0!</v>
      </c>
      <c r="U8" s="774" t="e">
        <f t="shared" si="7"/>
        <v>#DIV/0!</v>
      </c>
      <c r="V8" s="793" t="e">
        <f t="shared" si="3"/>
        <v>#DIV/0!</v>
      </c>
      <c r="W8" s="1019" t="e">
        <f t="shared" si="0"/>
        <v>#DIV/0!</v>
      </c>
      <c r="X8" s="1402"/>
      <c r="Y8" s="1020"/>
      <c r="Z8" s="1416">
        <f>Sismik!AB15</f>
        <v>0</v>
      </c>
      <c r="AA8" s="1417"/>
      <c r="AC8" s="727" t="s">
        <v>78</v>
      </c>
      <c r="AD8" s="797"/>
      <c r="AE8" s="1019" t="e">
        <f>IF(AND(AD8&gt;2.5,AD8&lt;=4),"Orta Tehlike",IF(AND(AD8&gt;4,AD8&lt;=6.5),"Yüksek Tehlike",IF(AND(AD8&gt;0,AD8&lt;=2.5),"Düşük Tehlike",IF(AD8&gt;6.5,"Çok Yüksek Tehlike",IF(AD7=YALNIŞ,"")))))</f>
        <v>#NAME?</v>
      </c>
      <c r="AF8" s="1402"/>
      <c r="AG8" s="1020"/>
      <c r="AH8" s="1416">
        <f t="shared" si="1"/>
        <v>0</v>
      </c>
      <c r="AI8" s="1417"/>
      <c r="AN8" s="380" t="str">
        <f t="shared" si="4"/>
        <v/>
      </c>
      <c r="AO8" s="380" t="str">
        <f t="shared" si="5"/>
        <v/>
      </c>
      <c r="AP8" s="523" t="str">
        <f t="shared" si="6"/>
        <v/>
      </c>
      <c r="AX8" s="380"/>
    </row>
    <row r="9" spans="1:50" ht="16.5" thickBot="1">
      <c r="A9" s="1422"/>
      <c r="B9" s="1422"/>
      <c r="D9" s="711" t="s">
        <v>51</v>
      </c>
      <c r="E9" s="724" t="str">
        <f>IF(ISERROR(Sismik!C153),"",Sismik!C153)</f>
        <v/>
      </c>
      <c r="F9" s="709" t="str">
        <f>Sismik!I153</f>
        <v/>
      </c>
      <c r="G9" s="724" t="str">
        <f>IF(ISERROR(Sismik!C154),"",Sismik!C154)</f>
        <v/>
      </c>
      <c r="H9" s="724" t="str">
        <f>Sismik!I154</f>
        <v/>
      </c>
      <c r="I9" s="724" t="e">
        <f>1.67*(LOG(6750/(Sismik!C138*Sismik!C140)))</f>
        <v>#DIV/0!</v>
      </c>
      <c r="J9" s="1385"/>
      <c r="K9" s="11"/>
      <c r="L9" s="40" t="e">
        <f>IF(#REF!=0,"100000",#REF!)</f>
        <v>#REF!</v>
      </c>
      <c r="M9" s="40" t="e">
        <f>IF(#REF!=0,"100000",#REF!)</f>
        <v>#REF!</v>
      </c>
      <c r="O9" s="40">
        <f>E15</f>
        <v>0</v>
      </c>
      <c r="P9" s="40">
        <f>G15</f>
        <v>0</v>
      </c>
      <c r="R9" s="728" t="s">
        <v>79</v>
      </c>
      <c r="S9" s="791"/>
      <c r="T9" s="794" t="e">
        <f t="shared" si="2"/>
        <v>#DIV/0!</v>
      </c>
      <c r="U9" s="794" t="e">
        <f t="shared" si="7"/>
        <v>#DIV/0!</v>
      </c>
      <c r="V9" s="795" t="e">
        <f t="shared" si="3"/>
        <v>#DIV/0!</v>
      </c>
      <c r="W9" s="1403" t="e">
        <f t="shared" si="0"/>
        <v>#DIV/0!</v>
      </c>
      <c r="X9" s="1404"/>
      <c r="Y9" s="1405"/>
      <c r="Z9" s="1412">
        <f>Sismik!AB17</f>
        <v>0</v>
      </c>
      <c r="AA9" s="1413"/>
      <c r="AC9" s="728" t="s">
        <v>79</v>
      </c>
      <c r="AD9" s="797"/>
      <c r="AE9" s="1403" t="e">
        <f>IF(AND(AD9&gt;2.5,AD9&lt;=4),"Orta Tehlike",IF(AND(AD9&gt;4,AD9&lt;=6.5),"Yüksek Tehlike",IF(AND(AD9&gt;0,AD9&lt;=2.5),"Düşük Tehlike",IF(AD9&gt;6.5,"Çok Yüksek Tehlike",IF(AD8=YALNIŞ,"")))))</f>
        <v>#NAME?</v>
      </c>
      <c r="AF9" s="1404"/>
      <c r="AG9" s="1405"/>
      <c r="AH9" s="1412">
        <f t="shared" si="1"/>
        <v>0</v>
      </c>
      <c r="AI9" s="1413"/>
      <c r="AN9" s="380" t="str">
        <f t="shared" si="4"/>
        <v/>
      </c>
      <c r="AO9" s="380" t="str">
        <f t="shared" si="5"/>
        <v/>
      </c>
      <c r="AP9" s="523" t="str">
        <f t="shared" si="6"/>
        <v/>
      </c>
      <c r="AX9" s="380"/>
    </row>
    <row r="10" spans="1:50" ht="15.75" thickBot="1">
      <c r="A10" s="1422"/>
      <c r="B10" s="1422"/>
      <c r="D10" s="101"/>
      <c r="J10" s="374"/>
      <c r="K10" s="11"/>
      <c r="L10" s="40" t="str">
        <f>IF(E7=0,"100000",E7)</f>
        <v/>
      </c>
      <c r="M10" s="40" t="str">
        <f>IF(G7=0,"100000",G7)</f>
        <v/>
      </c>
      <c r="S10" s="370" t="s">
        <v>803</v>
      </c>
      <c r="U10" s="64" t="e">
        <f>SUM(T4:T9)</f>
        <v>#DIV/0!</v>
      </c>
      <c r="AD10" s="370" t="s">
        <v>804</v>
      </c>
      <c r="AN10" s="380">
        <f>MIN(AN4:AN9)</f>
        <v>0</v>
      </c>
      <c r="AO10" s="380">
        <f>MIN(AO4:AO9)</f>
        <v>0</v>
      </c>
      <c r="AP10" s="380">
        <f>MIN(AP4:AP9)</f>
        <v>0</v>
      </c>
      <c r="AX10" s="380"/>
    </row>
    <row r="11" spans="1:50" ht="16.5" thickBot="1">
      <c r="A11" s="1422"/>
      <c r="B11" s="1422"/>
      <c r="D11" s="101"/>
      <c r="E11" s="327">
        <f>IF(ISERROR(Sismik!D101),"",Sismik!D101)</f>
        <v>0</v>
      </c>
      <c r="F11" s="134">
        <f>Sismik!K101</f>
        <v>0</v>
      </c>
      <c r="G11" s="327">
        <f>IF(ISERROR(Sismik!D102),"",Sismik!D102)</f>
        <v>0</v>
      </c>
      <c r="H11" s="327">
        <f>Sismik!K102</f>
        <v>0</v>
      </c>
      <c r="I11" s="327"/>
      <c r="J11" s="374"/>
      <c r="K11" s="11"/>
      <c r="L11" s="40" t="str">
        <f t="shared" ref="L11:L15" si="8">IF(E11=0,"100000",E11)</f>
        <v>100000</v>
      </c>
      <c r="M11" s="40" t="str">
        <f t="shared" ref="M11:M15" si="9">IF(G11=0,"100000",G11)</f>
        <v>100000</v>
      </c>
      <c r="R11" s="342" t="s">
        <v>569</v>
      </c>
      <c r="S11" s="344">
        <f>MIN(S4:S9)</f>
        <v>0</v>
      </c>
      <c r="T11" s="344">
        <f t="shared" ref="T11:V12" si="10">AN10</f>
        <v>0</v>
      </c>
      <c r="U11" s="344">
        <f t="shared" si="10"/>
        <v>0</v>
      </c>
      <c r="V11" s="344">
        <f t="shared" si="10"/>
        <v>0</v>
      </c>
      <c r="X11" s="525" t="s">
        <v>694</v>
      </c>
      <c r="Y11" s="524" t="e">
        <f>AVERAGE(AN4:AN9)</f>
        <v>#DIV/0!</v>
      </c>
      <c r="AC11" s="342" t="s">
        <v>569</v>
      </c>
      <c r="AD11" s="346">
        <f>MIN(AD4:AD9)</f>
        <v>0</v>
      </c>
      <c r="AF11" s="525" t="s">
        <v>695</v>
      </c>
      <c r="AG11" s="524" t="e">
        <f>AVERAGE(AD4:AD9)</f>
        <v>#DIV/0!</v>
      </c>
      <c r="AN11" s="380">
        <f>MAX(AN4:AN9)</f>
        <v>0</v>
      </c>
      <c r="AO11" s="380">
        <f>MAX(AO4:AO9)</f>
        <v>0</v>
      </c>
      <c r="AP11" s="523">
        <f>MAX(AP4:AP9)</f>
        <v>0</v>
      </c>
      <c r="AX11" s="380"/>
    </row>
    <row r="12" spans="1:50" ht="16.5" customHeight="1" thickBot="1">
      <c r="A12" s="1422"/>
      <c r="B12" s="1422"/>
      <c r="D12" s="101"/>
      <c r="E12" s="1427" t="s">
        <v>607</v>
      </c>
      <c r="F12" s="1427"/>
      <c r="G12" s="546" t="s">
        <v>211</v>
      </c>
      <c r="H12" s="546" t="s">
        <v>211</v>
      </c>
      <c r="I12" s="546" t="s">
        <v>213</v>
      </c>
      <c r="J12" s="376"/>
      <c r="K12" s="11"/>
      <c r="L12" s="40" t="str">
        <f>IF(E8=0,"100000",E8)</f>
        <v/>
      </c>
      <c r="M12" s="40" t="str">
        <f>IF(G8=0,"100000",G8)</f>
        <v/>
      </c>
      <c r="R12" s="342" t="s">
        <v>570</v>
      </c>
      <c r="S12" s="343">
        <f>MAX(S4:S9)</f>
        <v>0</v>
      </c>
      <c r="T12" s="343">
        <f t="shared" si="10"/>
        <v>0</v>
      </c>
      <c r="U12" s="343">
        <f t="shared" si="10"/>
        <v>0</v>
      </c>
      <c r="V12" s="343">
        <f t="shared" si="10"/>
        <v>0</v>
      </c>
      <c r="AA12" s="133"/>
      <c r="AB12" s="133"/>
      <c r="AC12" s="342" t="s">
        <v>570</v>
      </c>
      <c r="AD12" s="345">
        <f>MAX(AD4:AD9)</f>
        <v>0</v>
      </c>
      <c r="AE12" s="133"/>
      <c r="AF12" s="133"/>
      <c r="AG12" s="133"/>
      <c r="AH12" s="133"/>
      <c r="AI12" s="133"/>
      <c r="AJ12" s="133"/>
      <c r="AK12" s="133"/>
      <c r="AX12" s="380"/>
    </row>
    <row r="13" spans="1:50">
      <c r="A13" s="1422"/>
      <c r="B13" s="1422"/>
      <c r="D13" s="101"/>
      <c r="E13" s="188" t="s">
        <v>201</v>
      </c>
      <c r="F13" s="189" t="e">
        <f>S25/T25</f>
        <v>#DIV/0!</v>
      </c>
      <c r="G13" s="167" t="str">
        <f>IF(ISERROR(68*F13^(-0.6)),"",68*F13^(-0.6))</f>
        <v/>
      </c>
      <c r="H13" s="368" t="str">
        <f>IF(ISERROR(23*F13^(-0.45)),"",23*F13^(-0.45))</f>
        <v/>
      </c>
      <c r="I13" s="167" t="e">
        <f>1.67*(LOG(6750/(F13*yoğunluk!E18)))</f>
        <v>#DIV/0!</v>
      </c>
      <c r="J13" s="3"/>
      <c r="K13" s="3"/>
      <c r="L13" s="3"/>
      <c r="M13" s="3"/>
      <c r="N13" s="3"/>
      <c r="O13" s="1425" t="e">
        <f>1.67*(LOG(6750/(F13*yoğunluk!C5)))</f>
        <v>#DIV/0!</v>
      </c>
      <c r="P13" s="1426"/>
      <c r="T13" s="71"/>
      <c r="U13" s="71"/>
      <c r="V13" s="71"/>
      <c r="W13" s="71"/>
      <c r="X13" s="71"/>
      <c r="Y13" s="71"/>
      <c r="Z13" s="71"/>
      <c r="AA13" s="133"/>
      <c r="AB13" s="1373"/>
      <c r="AC13" s="1104"/>
      <c r="AD13" s="1365"/>
      <c r="AE13" s="1365"/>
      <c r="AF13" s="248"/>
      <c r="AG13" s="248"/>
      <c r="AH13" s="248"/>
      <c r="AI13" s="1104"/>
      <c r="AJ13" s="1104"/>
      <c r="AK13" s="133"/>
      <c r="AX13" s="380"/>
    </row>
    <row r="14" spans="1:50" ht="15.75" customHeight="1">
      <c r="A14" s="1422"/>
      <c r="B14" s="1422"/>
      <c r="D14" s="101"/>
      <c r="E14" s="1423" t="s">
        <v>216</v>
      </c>
      <c r="F14" s="1424"/>
      <c r="G14" s="190" t="str">
        <f>IF(AND(G13&gt;2.5,G13&lt;=4),"Orta Tehlike",IF(AND(G13&gt;4,G13&lt;=6.5),"Yüksek Tehlike",IF(AND(G13&gt;0,H13&lt;=2.5),"Düşük Tehlike",IF(AND(G13&gt;6.5,G13&lt;=10),"D- Çok Yüksek Tehlike",IFERROR(G13,"")))))</f>
        <v/>
      </c>
      <c r="H14" s="178" t="b">
        <f>IF(AND(H13&gt;2.5,H13&lt;=4),"Orta Tehlike",IF(AND(H13&gt;4,H13&lt;=6.5),"Yüksek Tehlike",IF(AND(H13&gt;0,H13&lt;=2.5),"Düşük Tehlike",IF(AND(H13&gt;6.5,H13&lt;=10),"D- Çok Yüksek Tehlike"";EĞERHATA(J26;"""))))</f>
        <v>0</v>
      </c>
      <c r="I14" s="365" t="str">
        <f>IF(AND(Q26&gt;2.5,Q26&lt;=4),"B - Orta Tehlike",IF(AND(Q26&gt;4,Q26&lt;=6.5),"C - Yüksek Tehlike",IF(Q26&lt;=2.5,"A - Düşük Tehlike",IF(Q26&gt;6.5,"D - Çok Yüksek Tehlike"))))</f>
        <v>A - Düşük Tehlike</v>
      </c>
      <c r="J14" s="3"/>
      <c r="K14" s="3"/>
      <c r="L14" s="3"/>
      <c r="M14" s="3"/>
      <c r="N14" s="3"/>
      <c r="O14" s="863" t="e">
        <f>IF(AND(O13&gt;2.5,O13&lt;=4),"B - Orta Tehlike",IF(AND(O13&gt;4,O13&lt;=6.5),"C - Yüksek Tehlike",IF(O13&lt;=2.5,"A - Düşük Tehlike",IF(O13&gt;6.5,"D - Çok Yüksek Tehlike"))))</f>
        <v>#DIV/0!</v>
      </c>
      <c r="P14" s="872"/>
      <c r="S14" s="370"/>
      <c r="T14" s="248"/>
      <c r="U14" s="375"/>
      <c r="V14" s="375"/>
      <c r="W14" s="375"/>
      <c r="X14" s="375"/>
      <c r="Y14" s="248"/>
      <c r="Z14" s="248"/>
      <c r="AB14" s="1373"/>
      <c r="AC14" s="1104"/>
      <c r="AD14" s="1365"/>
      <c r="AE14" s="1365"/>
      <c r="AF14" s="248"/>
      <c r="AG14" s="248"/>
      <c r="AH14" s="248"/>
      <c r="AI14" s="1104"/>
      <c r="AJ14" s="1104"/>
    </row>
    <row r="15" spans="1:50" ht="15.75">
      <c r="A15" s="1422"/>
      <c r="B15" s="1422"/>
      <c r="D15" s="101"/>
      <c r="E15" s="327">
        <f>IF(ISERROR(Sismik!D153),"",Sismik!D153)</f>
        <v>0</v>
      </c>
      <c r="F15" s="134">
        <f>Sismik!K153</f>
        <v>0</v>
      </c>
      <c r="G15" s="327">
        <f>IF(ISERROR(Sismik!D154),"",Sismik!D154)</f>
        <v>0</v>
      </c>
      <c r="H15" s="327">
        <f>Sismik!K154</f>
        <v>0</v>
      </c>
      <c r="I15" s="327"/>
      <c r="J15" s="374"/>
      <c r="K15" s="11"/>
      <c r="L15" s="40" t="str">
        <f t="shared" si="8"/>
        <v>100000</v>
      </c>
      <c r="M15" s="40" t="str">
        <f t="shared" si="9"/>
        <v>100000</v>
      </c>
      <c r="AB15" s="23"/>
      <c r="AC15" s="80"/>
      <c r="AD15" s="81"/>
      <c r="AE15" s="81"/>
      <c r="AF15" s="102"/>
      <c r="AG15" s="102"/>
      <c r="AH15" s="102"/>
      <c r="AI15" s="1366"/>
      <c r="AJ15" s="1366"/>
    </row>
    <row r="16" spans="1:50" ht="30" customHeight="1">
      <c r="A16" s="1422"/>
      <c r="B16" s="1422"/>
      <c r="J16" s="374"/>
      <c r="R16" s="552" t="s">
        <v>147</v>
      </c>
      <c r="S16" s="1186" t="s">
        <v>217</v>
      </c>
      <c r="T16" s="1186"/>
      <c r="U16" s="1186"/>
      <c r="V16" s="1186"/>
      <c r="W16" s="1186"/>
      <c r="X16" s="1186"/>
      <c r="Y16" s="1186"/>
      <c r="Z16" s="1186"/>
      <c r="AB16" s="23"/>
      <c r="AC16" s="550" t="s">
        <v>73</v>
      </c>
      <c r="AD16" s="549" t="s">
        <v>80</v>
      </c>
      <c r="AE16" s="551" t="s">
        <v>477</v>
      </c>
      <c r="AF16" s="551" t="s">
        <v>478</v>
      </c>
      <c r="AG16" s="102"/>
      <c r="AH16" s="1419" t="s">
        <v>807</v>
      </c>
      <c r="AI16" s="1420"/>
      <c r="AJ16" s="1420"/>
      <c r="AK16" s="1421"/>
    </row>
    <row r="17" spans="1:40" ht="15.75">
      <c r="A17" s="1422"/>
      <c r="B17" s="1422"/>
      <c r="J17" s="374"/>
      <c r="R17" s="553" t="s">
        <v>84</v>
      </c>
      <c r="S17" s="880" t="s">
        <v>81</v>
      </c>
      <c r="T17" s="880"/>
      <c r="U17" s="880" t="s">
        <v>197</v>
      </c>
      <c r="V17" s="880"/>
      <c r="W17" s="880" t="s">
        <v>196</v>
      </c>
      <c r="X17" s="880"/>
      <c r="Y17" s="880" t="s">
        <v>208</v>
      </c>
      <c r="Z17" s="880"/>
      <c r="AB17" s="23"/>
      <c r="AC17" s="726" t="s">
        <v>74</v>
      </c>
      <c r="AD17" s="798"/>
      <c r="AE17" s="776">
        <f>ROUND(0.67*AD17,2)</f>
        <v>0</v>
      </c>
      <c r="AF17" s="799">
        <f>ROUND(1.5*AD17,2)</f>
        <v>0</v>
      </c>
      <c r="AG17" s="102"/>
      <c r="AH17" s="793" t="e">
        <f t="shared" ref="AH17:AH22" si="11">AD4/T4</f>
        <v>#DIV/0!</v>
      </c>
      <c r="AI17" s="1418" t="e">
        <f t="shared" ref="AI17:AI22" si="12">IF(AH17&gt;20," HASAR OLUŞUR","HASAR OLUŞMAZ")</f>
        <v>#DIV/0!</v>
      </c>
      <c r="AJ17" s="1418"/>
      <c r="AK17" s="1418"/>
    </row>
    <row r="18" spans="1:40" ht="15.75">
      <c r="J18" s="374"/>
      <c r="R18" s="553"/>
      <c r="S18" s="880"/>
      <c r="T18" s="880"/>
      <c r="U18" s="880"/>
      <c r="V18" s="880"/>
      <c r="W18" s="880"/>
      <c r="X18" s="880"/>
      <c r="Y18" s="880"/>
      <c r="Z18" s="880"/>
      <c r="AB18" s="23"/>
      <c r="AC18" s="727" t="s">
        <v>75</v>
      </c>
      <c r="AD18" s="800"/>
      <c r="AE18" s="774">
        <f>ROUND(0.67*AD18,2)</f>
        <v>0</v>
      </c>
      <c r="AF18" s="801">
        <f t="shared" ref="AF18:AF22" si="13">ROUND(1.5*AD18,2)</f>
        <v>0</v>
      </c>
      <c r="AG18" s="102"/>
      <c r="AH18" s="793" t="e">
        <f t="shared" si="11"/>
        <v>#DIV/0!</v>
      </c>
      <c r="AI18" s="1418" t="e">
        <f t="shared" si="12"/>
        <v>#DIV/0!</v>
      </c>
      <c r="AJ18" s="1418"/>
      <c r="AK18" s="1418"/>
    </row>
    <row r="19" spans="1:40" ht="15.75">
      <c r="D19" s="372"/>
      <c r="E19" s="373"/>
      <c r="F19" s="373"/>
      <c r="G19" s="61"/>
      <c r="H19" s="61"/>
      <c r="J19" s="374"/>
      <c r="R19" s="720" t="s">
        <v>374</v>
      </c>
      <c r="S19" s="1387">
        <f>Sismik!C25</f>
        <v>0</v>
      </c>
      <c r="T19" s="1388"/>
      <c r="U19" s="1378" t="str">
        <f>IF(ISERROR(68*S19^(-0.6)),"",68*S19^(-0.6))</f>
        <v/>
      </c>
      <c r="V19" s="1379"/>
      <c r="W19" s="1378" t="str">
        <f>IF(ISERROR(23*S19^(-0.45)),"",23*S19^(-0.45))</f>
        <v/>
      </c>
      <c r="X19" s="1379"/>
      <c r="Y19" s="1378" t="e">
        <f>1.67*(LOG(6750/(Sismik!C25*Sismik!D9)))</f>
        <v>#DIV/0!</v>
      </c>
      <c r="Z19" s="1379"/>
      <c r="AB19" s="23"/>
      <c r="AC19" s="727" t="s">
        <v>76</v>
      </c>
      <c r="AD19" s="800"/>
      <c r="AE19" s="774">
        <f t="shared" ref="AE19:AE22" si="14">ROUND(0.67*AD19,2)</f>
        <v>0</v>
      </c>
      <c r="AF19" s="801">
        <f t="shared" si="13"/>
        <v>0</v>
      </c>
      <c r="AG19" s="102"/>
      <c r="AH19" s="793" t="e">
        <f t="shared" si="11"/>
        <v>#DIV/0!</v>
      </c>
      <c r="AI19" s="1418" t="e">
        <f t="shared" si="12"/>
        <v>#DIV/0!</v>
      </c>
      <c r="AJ19" s="1418"/>
      <c r="AK19" s="1418"/>
    </row>
    <row r="20" spans="1:40" ht="15.75">
      <c r="D20" s="372"/>
      <c r="E20" s="366"/>
      <c r="F20" s="366"/>
      <c r="G20" s="366"/>
      <c r="H20" s="366"/>
      <c r="R20" s="491" t="s">
        <v>375</v>
      </c>
      <c r="S20" s="985">
        <f>Sismik!C52</f>
        <v>0</v>
      </c>
      <c r="T20" s="986"/>
      <c r="U20" s="1363" t="str">
        <f t="shared" ref="U20:U24" si="15">IF(ISERROR(68*S20^(-0.6)),"",68*S20^(-0.6))</f>
        <v/>
      </c>
      <c r="V20" s="1363"/>
      <c r="W20" s="1363" t="str">
        <f t="shared" ref="W20:W24" si="16">IF(ISERROR(23*S20^(-0.45)),"",23*S20^(-0.45))</f>
        <v/>
      </c>
      <c r="X20" s="1363"/>
      <c r="Y20" s="1374" t="e">
        <f>1.67*(LOG(6750/(Sismik!C52*Sismik!D36)))</f>
        <v>#DIV/0!</v>
      </c>
      <c r="Z20" s="1375"/>
      <c r="AB20" s="23"/>
      <c r="AC20" s="727" t="s">
        <v>77</v>
      </c>
      <c r="AD20" s="800"/>
      <c r="AE20" s="774">
        <f t="shared" si="14"/>
        <v>0</v>
      </c>
      <c r="AF20" s="801">
        <f t="shared" si="13"/>
        <v>0</v>
      </c>
      <c r="AG20" s="102"/>
      <c r="AH20" s="793" t="e">
        <f t="shared" si="11"/>
        <v>#DIV/0!</v>
      </c>
      <c r="AI20" s="1418" t="e">
        <f t="shared" si="12"/>
        <v>#DIV/0!</v>
      </c>
      <c r="AJ20" s="1418"/>
      <c r="AK20" s="1418"/>
    </row>
    <row r="21" spans="1:40" ht="15.75">
      <c r="D21" s="23"/>
      <c r="E21" s="23"/>
      <c r="F21" s="371"/>
      <c r="G21" s="81"/>
      <c r="H21" s="81"/>
      <c r="R21" s="491" t="s">
        <v>376</v>
      </c>
      <c r="S21" s="985">
        <f>Sismik!C78</f>
        <v>0</v>
      </c>
      <c r="T21" s="986"/>
      <c r="U21" s="1363" t="str">
        <f t="shared" si="15"/>
        <v/>
      </c>
      <c r="V21" s="1363"/>
      <c r="W21" s="1363" t="str">
        <f t="shared" si="16"/>
        <v/>
      </c>
      <c r="X21" s="1363"/>
      <c r="Y21" s="1374" t="e">
        <f>1.67*(LOG(6750/(Sismik!C78*Sismik!D62)))</f>
        <v>#DIV/0!</v>
      </c>
      <c r="Z21" s="1375"/>
      <c r="AC21" s="727" t="s">
        <v>78</v>
      </c>
      <c r="AD21" s="800"/>
      <c r="AE21" s="774">
        <f t="shared" si="14"/>
        <v>0</v>
      </c>
      <c r="AF21" s="801">
        <f t="shared" si="13"/>
        <v>0</v>
      </c>
      <c r="AH21" s="793" t="e">
        <f t="shared" si="11"/>
        <v>#DIV/0!</v>
      </c>
      <c r="AI21" s="1418" t="e">
        <f t="shared" si="12"/>
        <v>#DIV/0!</v>
      </c>
      <c r="AJ21" s="1418"/>
      <c r="AK21" s="1418"/>
    </row>
    <row r="22" spans="1:40" ht="16.5" thickBot="1">
      <c r="D22" s="23"/>
      <c r="E22" s="23"/>
      <c r="F22" s="63"/>
      <c r="G22" s="81"/>
      <c r="H22" s="81"/>
      <c r="R22" s="491" t="s">
        <v>377</v>
      </c>
      <c r="S22" s="985">
        <f>Sismik!C104</f>
        <v>0</v>
      </c>
      <c r="T22" s="986"/>
      <c r="U22" s="1363" t="str">
        <f t="shared" si="15"/>
        <v/>
      </c>
      <c r="V22" s="1363"/>
      <c r="W22" s="1363" t="str">
        <f t="shared" si="16"/>
        <v/>
      </c>
      <c r="X22" s="1363"/>
      <c r="Y22" s="1363" t="e">
        <f>1.67*(LOG(6750/(Sismik!C104*Sismik!D88)))</f>
        <v>#DIV/0!</v>
      </c>
      <c r="Z22" s="1363"/>
      <c r="AB22" s="341"/>
      <c r="AC22" s="728" t="s">
        <v>79</v>
      </c>
      <c r="AD22" s="802"/>
      <c r="AE22" s="794">
        <f t="shared" si="14"/>
        <v>0</v>
      </c>
      <c r="AF22" s="803">
        <f t="shared" si="13"/>
        <v>0</v>
      </c>
      <c r="AH22" s="793" t="e">
        <f t="shared" si="11"/>
        <v>#DIV/0!</v>
      </c>
      <c r="AI22" s="1418" t="e">
        <f t="shared" si="12"/>
        <v>#DIV/0!</v>
      </c>
      <c r="AJ22" s="1418"/>
      <c r="AK22" s="1418"/>
    </row>
    <row r="23" spans="1:40">
      <c r="R23" s="491" t="s">
        <v>378</v>
      </c>
      <c r="S23" s="985">
        <f>Sismik!C130</f>
        <v>0</v>
      </c>
      <c r="T23" s="986"/>
      <c r="U23" s="1363" t="str">
        <f t="shared" si="15"/>
        <v/>
      </c>
      <c r="V23" s="1363"/>
      <c r="W23" s="1363" t="str">
        <f t="shared" si="16"/>
        <v/>
      </c>
      <c r="X23" s="1363"/>
      <c r="Y23" s="1363" t="e">
        <f>1.67*(LOG(6750/(Sismik!C130*Sismik!D114)))</f>
        <v>#DIV/0!</v>
      </c>
      <c r="Z23" s="1363"/>
    </row>
    <row r="24" spans="1:40">
      <c r="J24" s="59"/>
      <c r="R24" s="721" t="s">
        <v>379</v>
      </c>
      <c r="S24" s="985">
        <f>Sismik!C156</f>
        <v>0</v>
      </c>
      <c r="T24" s="986"/>
      <c r="U24" s="1389" t="str">
        <f t="shared" si="15"/>
        <v/>
      </c>
      <c r="V24" s="1390"/>
      <c r="W24" s="1389" t="str">
        <f t="shared" si="16"/>
        <v/>
      </c>
      <c r="X24" s="1390"/>
      <c r="Y24" s="1363" t="e">
        <f>1.67*(LOG(6750/(Sismik!C156*Sismik!D140)))</f>
        <v>#DIV/0!</v>
      </c>
      <c r="Z24" s="1363"/>
    </row>
    <row r="25" spans="1:40" ht="15" customHeight="1">
      <c r="G25" s="1386" t="s">
        <v>461</v>
      </c>
      <c r="H25" s="1364"/>
      <c r="I25" s="367" t="s">
        <v>211</v>
      </c>
      <c r="J25" s="367" t="s">
        <v>211</v>
      </c>
      <c r="K25" s="376"/>
      <c r="L25" s="376"/>
      <c r="M25" s="376"/>
      <c r="N25" s="376"/>
      <c r="O25" s="376"/>
      <c r="P25" s="376"/>
      <c r="Q25" s="1364" t="s">
        <v>213</v>
      </c>
      <c r="R25" s="1364"/>
      <c r="S25" s="378">
        <f>SUM(S19:T24)</f>
        <v>0</v>
      </c>
      <c r="T25" s="376">
        <f>COUNTIF(S19:T24,"&gt;0")</f>
        <v>0</v>
      </c>
      <c r="AD25" s="139" t="s">
        <v>236</v>
      </c>
      <c r="AE25" s="1354" t="s">
        <v>237</v>
      </c>
      <c r="AF25" s="1355"/>
      <c r="AG25" s="1355"/>
      <c r="AH25" s="1355"/>
      <c r="AI25" s="1355"/>
      <c r="AJ25" s="1355"/>
      <c r="AK25" s="1356"/>
    </row>
    <row r="26" spans="1:40">
      <c r="G26" s="369"/>
      <c r="H26" s="377"/>
      <c r="I26" s="63"/>
      <c r="J26" s="63"/>
      <c r="K26" s="3"/>
      <c r="L26" s="3"/>
      <c r="M26" s="3"/>
      <c r="N26" s="3"/>
      <c r="O26" s="3"/>
      <c r="P26" s="3"/>
      <c r="Q26" s="48"/>
      <c r="R26" s="48"/>
      <c r="S26" s="48"/>
      <c r="T26" s="48"/>
      <c r="AD26" s="139" t="s">
        <v>238</v>
      </c>
      <c r="AE26" s="10" t="s">
        <v>239</v>
      </c>
      <c r="AF26" s="10"/>
      <c r="AG26" s="10"/>
      <c r="AH26" s="10"/>
      <c r="AI26" s="10"/>
      <c r="AJ26" s="10"/>
      <c r="AK26" s="10"/>
    </row>
    <row r="27" spans="1:40" ht="15.75" thickBot="1">
      <c r="G27" s="1384"/>
      <c r="H27" s="1384"/>
      <c r="I27" s="333"/>
      <c r="J27" s="1107"/>
      <c r="K27" s="1107"/>
      <c r="L27" s="3"/>
      <c r="M27" s="3"/>
      <c r="N27" s="3"/>
      <c r="O27" s="3"/>
      <c r="P27" s="3"/>
      <c r="Q27" s="3"/>
      <c r="R27" s="3"/>
      <c r="AD27" s="139" t="s">
        <v>421</v>
      </c>
      <c r="AE27" s="10" t="s">
        <v>240</v>
      </c>
      <c r="AF27" s="10"/>
      <c r="AG27" s="10"/>
      <c r="AH27" s="10"/>
      <c r="AI27" s="10"/>
      <c r="AJ27" s="10"/>
      <c r="AK27" s="10"/>
    </row>
    <row r="28" spans="1:40" ht="21">
      <c r="R28" s="337"/>
      <c r="S28" s="338"/>
      <c r="T28" s="338"/>
      <c r="U28" s="589" t="s">
        <v>771</v>
      </c>
      <c r="V28" s="589"/>
      <c r="W28" s="589"/>
      <c r="X28" s="578"/>
      <c r="Y28" s="338"/>
      <c r="Z28" s="338"/>
      <c r="AA28" s="204"/>
      <c r="AD28" s="139" t="s">
        <v>241</v>
      </c>
      <c r="AE28" s="1354" t="s">
        <v>456</v>
      </c>
      <c r="AF28" s="1355"/>
      <c r="AG28" s="1355"/>
      <c r="AH28" s="1355"/>
      <c r="AI28" s="1355"/>
      <c r="AJ28" s="1355"/>
      <c r="AK28" s="1356"/>
    </row>
    <row r="29" spans="1:40" ht="15.75" customHeight="1" thickBot="1">
      <c r="D29" s="62"/>
      <c r="E29" s="62"/>
      <c r="F29" s="63"/>
      <c r="R29" s="50"/>
      <c r="S29" s="3"/>
      <c r="T29" s="3"/>
      <c r="U29" s="3"/>
      <c r="V29" s="3"/>
      <c r="W29" s="3"/>
      <c r="X29" s="3"/>
      <c r="Y29" s="3"/>
      <c r="Z29" s="3"/>
      <c r="AA29" s="205"/>
    </row>
    <row r="30" spans="1:40" ht="29.25" customHeight="1">
      <c r="D30" s="62"/>
      <c r="E30" s="62"/>
      <c r="F30" s="63"/>
      <c r="R30" s="50"/>
      <c r="S30" s="3"/>
      <c r="T30" s="3"/>
      <c r="U30" s="3"/>
      <c r="V30" s="3"/>
      <c r="W30" s="3"/>
      <c r="X30" s="3"/>
      <c r="Y30" s="579" t="s">
        <v>772</v>
      </c>
      <c r="Z30" s="3"/>
      <c r="AA30" s="205"/>
      <c r="AE30" s="1357" t="s">
        <v>450</v>
      </c>
      <c r="AF30" s="1358"/>
      <c r="AG30" s="1358"/>
      <c r="AH30" s="1358"/>
      <c r="AI30" s="249"/>
      <c r="AJ30" s="249"/>
    </row>
    <row r="31" spans="1:40" ht="16.5" customHeight="1">
      <c r="D31" s="62"/>
      <c r="F31" s="74"/>
      <c r="G31" s="74"/>
      <c r="H31" s="33"/>
      <c r="I31" s="33"/>
      <c r="J31" s="33"/>
      <c r="K31" s="33"/>
      <c r="L31" s="33"/>
      <c r="M31" s="33"/>
      <c r="N31" s="33"/>
      <c r="R31" s="50"/>
      <c r="S31" s="3"/>
      <c r="T31" s="3"/>
      <c r="U31" s="3"/>
      <c r="V31" s="3"/>
      <c r="W31" s="3"/>
      <c r="X31" s="3"/>
      <c r="Y31" s="3"/>
      <c r="Z31" s="3"/>
      <c r="AA31" s="205"/>
      <c r="AE31" s="1359"/>
      <c r="AF31" s="1360"/>
      <c r="AG31" s="1360"/>
      <c r="AH31" s="1360"/>
      <c r="AI31" s="249"/>
      <c r="AJ31" s="249"/>
      <c r="AK31" s="245"/>
      <c r="AL31" s="245"/>
    </row>
    <row r="32" spans="1:40" ht="15" customHeight="1" thickBot="1">
      <c r="D32" s="62"/>
      <c r="F32" s="1395"/>
      <c r="G32" s="1392"/>
      <c r="H32" s="1393"/>
      <c r="I32" s="1394"/>
      <c r="J32" s="1394"/>
      <c r="R32" s="50"/>
      <c r="S32" s="3"/>
      <c r="T32" s="3"/>
      <c r="U32" s="3"/>
      <c r="V32" s="3"/>
      <c r="W32" s="3"/>
      <c r="X32" s="3"/>
      <c r="Y32" s="3"/>
      <c r="Z32" s="3"/>
      <c r="AA32" s="205"/>
      <c r="AD32" s="133"/>
      <c r="AE32" s="1361"/>
      <c r="AF32" s="1362"/>
      <c r="AG32" s="1362"/>
      <c r="AH32" s="1362"/>
      <c r="AI32" s="249"/>
      <c r="AJ32" s="249"/>
      <c r="AK32" s="245"/>
      <c r="AL32" s="245"/>
      <c r="AM32" s="133"/>
      <c r="AN32" s="133"/>
    </row>
    <row r="33" spans="6:39" ht="15" customHeight="1">
      <c r="F33" s="1395"/>
      <c r="G33" s="1392"/>
      <c r="H33" s="1393"/>
      <c r="I33" s="1394"/>
      <c r="J33" s="1394"/>
      <c r="R33" s="50"/>
      <c r="S33" s="519"/>
      <c r="T33" s="3"/>
      <c r="U33" s="580"/>
      <c r="V33" s="3"/>
      <c r="W33" s="3"/>
      <c r="X33" s="3"/>
      <c r="Y33" s="3"/>
      <c r="Z33" s="3"/>
      <c r="AA33" s="205"/>
      <c r="AD33" s="133"/>
      <c r="AE33" s="1117" t="s">
        <v>73</v>
      </c>
      <c r="AF33" s="1119" t="s">
        <v>80</v>
      </c>
      <c r="AG33" s="1369" t="s">
        <v>218</v>
      </c>
      <c r="AH33" s="1369" t="s">
        <v>219</v>
      </c>
      <c r="AI33" s="248"/>
      <c r="AJ33" s="248"/>
      <c r="AK33" s="1371"/>
      <c r="AL33" s="1372"/>
      <c r="AM33" s="133"/>
    </row>
    <row r="34" spans="6:39" ht="15.75" customHeight="1" thickBot="1">
      <c r="F34" s="23"/>
      <c r="G34" s="75"/>
      <c r="H34" s="76"/>
      <c r="I34" s="3"/>
      <c r="J34" s="3"/>
      <c r="M34" s="73"/>
      <c r="R34" s="50"/>
      <c r="S34" s="3"/>
      <c r="T34" s="3"/>
      <c r="U34" s="3"/>
      <c r="V34" s="3"/>
      <c r="W34" s="3"/>
      <c r="X34" s="519"/>
      <c r="Y34" s="863" t="s">
        <v>773</v>
      </c>
      <c r="Z34" s="864"/>
      <c r="AA34" s="1141"/>
      <c r="AE34" s="1118"/>
      <c r="AF34" s="1120"/>
      <c r="AG34" s="1370"/>
      <c r="AH34" s="1370"/>
      <c r="AI34" s="248"/>
      <c r="AJ34" s="248"/>
      <c r="AK34" s="1371"/>
      <c r="AL34" s="1372"/>
    </row>
    <row r="35" spans="6:39" ht="15.75">
      <c r="F35" s="23"/>
      <c r="G35" s="77"/>
      <c r="H35" s="76"/>
      <c r="I35" s="76"/>
      <c r="J35" s="76"/>
      <c r="R35" s="50"/>
      <c r="S35" s="1380" t="s">
        <v>774</v>
      </c>
      <c r="T35" s="1380"/>
      <c r="U35" s="1380"/>
      <c r="V35" s="612"/>
      <c r="W35" s="678" t="s">
        <v>488</v>
      </c>
      <c r="X35" s="3"/>
      <c r="Y35" s="588" t="s">
        <v>775</v>
      </c>
      <c r="Z35" s="588" t="s">
        <v>776</v>
      </c>
      <c r="AA35" s="590" t="s">
        <v>777</v>
      </c>
      <c r="AE35" s="722" t="s">
        <v>374</v>
      </c>
      <c r="AF35" s="804" t="e">
        <f>Sismik!C15</f>
        <v>#DIV/0!</v>
      </c>
      <c r="AG35" s="771" t="e">
        <f>AF35*0.67</f>
        <v>#DIV/0!</v>
      </c>
      <c r="AH35" s="771" t="e">
        <f>1.5*AF35</f>
        <v>#DIV/0!</v>
      </c>
      <c r="AI35" s="247"/>
      <c r="AJ35" s="247"/>
      <c r="AK35" s="1367"/>
      <c r="AL35" s="1367"/>
    </row>
    <row r="36" spans="6:39" ht="15.75">
      <c r="F36" s="23"/>
      <c r="G36" s="75"/>
      <c r="H36" s="76"/>
      <c r="I36" s="76"/>
      <c r="J36" s="76"/>
      <c r="R36" s="50"/>
      <c r="S36" s="1380" t="s">
        <v>662</v>
      </c>
      <c r="T36" s="1380"/>
      <c r="U36" s="1380"/>
      <c r="V36" s="612"/>
      <c r="W36" s="678" t="s">
        <v>488</v>
      </c>
      <c r="X36" s="3"/>
      <c r="Y36" s="491">
        <v>0.621</v>
      </c>
      <c r="Z36" s="491">
        <v>-1.179</v>
      </c>
      <c r="AA36" s="591">
        <v>-8.1000000000000003E-2</v>
      </c>
      <c r="AE36" s="491" t="s">
        <v>375</v>
      </c>
      <c r="AF36" s="805" t="e">
        <f>Sismik!C42</f>
        <v>#DIV/0!</v>
      </c>
      <c r="AG36" s="769" t="e">
        <f t="shared" ref="AG36:AG40" si="17">AF36*0.67</f>
        <v>#DIV/0!</v>
      </c>
      <c r="AH36" s="769" t="e">
        <f t="shared" ref="AH36:AH40" si="18">1.5*AF36</f>
        <v>#DIV/0!</v>
      </c>
      <c r="AI36" s="247"/>
      <c r="AJ36" s="247"/>
      <c r="AK36" s="1368"/>
      <c r="AL36" s="1368"/>
    </row>
    <row r="37" spans="6:39" ht="15.75">
      <c r="F37" s="23"/>
      <c r="G37" s="77"/>
      <c r="H37" s="76"/>
      <c r="I37" s="76"/>
      <c r="J37" s="76"/>
      <c r="R37" s="50"/>
      <c r="S37" s="1380" t="s">
        <v>778</v>
      </c>
      <c r="T37" s="1380"/>
      <c r="U37" s="1380"/>
      <c r="V37" s="1381"/>
      <c r="W37" s="1382"/>
      <c r="X37" s="3"/>
      <c r="Y37" s="519"/>
      <c r="Z37" s="3"/>
      <c r="AA37" s="205"/>
      <c r="AE37" s="491" t="s">
        <v>376</v>
      </c>
      <c r="AF37" s="797" t="e">
        <f>Sismik!C68</f>
        <v>#DIV/0!</v>
      </c>
      <c r="AG37" s="769" t="e">
        <f t="shared" si="17"/>
        <v>#DIV/0!</v>
      </c>
      <c r="AH37" s="769" t="e">
        <f t="shared" si="18"/>
        <v>#DIV/0!</v>
      </c>
      <c r="AI37" s="247"/>
      <c r="AJ37" s="247"/>
      <c r="AK37" s="1367"/>
      <c r="AL37" s="1367"/>
    </row>
    <row r="38" spans="6:39" ht="15.75">
      <c r="F38" s="23"/>
      <c r="G38" s="75"/>
      <c r="H38" s="76"/>
      <c r="I38" s="76"/>
      <c r="J38" s="76"/>
      <c r="R38" s="50"/>
      <c r="S38" s="1380" t="s">
        <v>779</v>
      </c>
      <c r="T38" s="1383"/>
      <c r="U38" s="1383"/>
      <c r="V38" s="626"/>
      <c r="W38" s="679" t="s">
        <v>780</v>
      </c>
      <c r="X38" s="3"/>
      <c r="Y38" s="519"/>
      <c r="Z38" s="23"/>
      <c r="AA38" s="205"/>
      <c r="AE38" s="491" t="s">
        <v>377</v>
      </c>
      <c r="AF38" s="797" t="e">
        <f>Sismik!C94</f>
        <v>#DIV/0!</v>
      </c>
      <c r="AG38" s="769" t="e">
        <f t="shared" si="17"/>
        <v>#DIV/0!</v>
      </c>
      <c r="AH38" s="769" t="e">
        <f t="shared" si="18"/>
        <v>#DIV/0!</v>
      </c>
      <c r="AI38" s="247"/>
      <c r="AJ38" s="247"/>
      <c r="AK38" s="1368"/>
      <c r="AL38" s="1368"/>
    </row>
    <row r="39" spans="6:39" ht="15.75">
      <c r="F39" s="23"/>
      <c r="G39" s="77"/>
      <c r="H39" s="76"/>
      <c r="I39" s="76"/>
      <c r="J39" s="76"/>
      <c r="R39" s="50"/>
      <c r="S39" s="1380" t="s">
        <v>781</v>
      </c>
      <c r="T39" s="1383"/>
      <c r="U39" s="1383"/>
      <c r="V39" s="627"/>
      <c r="W39" s="680" t="s">
        <v>502</v>
      </c>
      <c r="X39" s="3"/>
      <c r="Y39" s="366">
        <f>0.0681*V37-0.17</f>
        <v>-0.17</v>
      </c>
      <c r="Z39" s="366">
        <f>((0.0008*V37-0.0031)*V39)+(0.0322*V37-0.0175)</f>
        <v>-1.7500000000000002E-2</v>
      </c>
      <c r="AA39" s="205"/>
      <c r="AE39" s="491" t="s">
        <v>378</v>
      </c>
      <c r="AF39" s="797" t="e">
        <f>Sismik!C120</f>
        <v>#DIV/0!</v>
      </c>
      <c r="AG39" s="769" t="e">
        <f t="shared" si="17"/>
        <v>#DIV/0!</v>
      </c>
      <c r="AH39" s="769" t="e">
        <f t="shared" si="18"/>
        <v>#DIV/0!</v>
      </c>
      <c r="AI39" s="247"/>
      <c r="AJ39" s="247"/>
      <c r="AK39" s="1367"/>
      <c r="AL39" s="1367"/>
    </row>
    <row r="40" spans="6:39" ht="15.75">
      <c r="R40" s="50"/>
      <c r="S40" s="1380" t="s">
        <v>782</v>
      </c>
      <c r="T40" s="1383"/>
      <c r="U40" s="1383"/>
      <c r="V40" s="626"/>
      <c r="W40" s="681" t="s">
        <v>783</v>
      </c>
      <c r="X40" s="3"/>
      <c r="Y40" s="366">
        <f>IF(V39&lt;=40,1,2)</f>
        <v>1</v>
      </c>
      <c r="Z40" s="61" t="e">
        <f>((V35/V36)*(3.5/V38)^0.1)*((750/V36)^0.5)</f>
        <v>#DIV/0!</v>
      </c>
      <c r="AA40" s="205"/>
      <c r="AE40" s="721" t="s">
        <v>379</v>
      </c>
      <c r="AF40" s="806" t="e">
        <f>Sismik!C146</f>
        <v>#DIV/0!</v>
      </c>
      <c r="AG40" s="769" t="e">
        <f t="shared" si="17"/>
        <v>#DIV/0!</v>
      </c>
      <c r="AH40" s="769" t="e">
        <f t="shared" si="18"/>
        <v>#DIV/0!</v>
      </c>
      <c r="AI40" s="247"/>
      <c r="AJ40" s="247"/>
      <c r="AK40" s="1368"/>
      <c r="AL40" s="1368"/>
    </row>
    <row r="41" spans="6:39">
      <c r="H41" s="71"/>
      <c r="R41" s="50"/>
      <c r="S41" s="1380" t="s">
        <v>784</v>
      </c>
      <c r="T41" s="1383"/>
      <c r="U41" s="1383"/>
      <c r="V41" s="1406" t="e">
        <f>1+(1/(SQRT((1/Z40)*(1+(V42/V40))^2 +(1-(V42/V40))^2*(V35/V36))))</f>
        <v>#DIV/0!</v>
      </c>
      <c r="W41" s="1407"/>
      <c r="X41" s="3"/>
      <c r="Y41" s="3"/>
      <c r="Z41" s="3"/>
      <c r="AA41" s="205"/>
      <c r="AB41" s="673"/>
    </row>
    <row r="42" spans="6:39" ht="15.75" thickBot="1">
      <c r="R42" s="50"/>
      <c r="S42" s="1408" t="s">
        <v>785</v>
      </c>
      <c r="T42" s="1383"/>
      <c r="U42" s="1383"/>
      <c r="V42" s="670">
        <f>IF(Y40=1,Y39,Z39)</f>
        <v>-0.17</v>
      </c>
      <c r="W42" s="682" t="s">
        <v>783</v>
      </c>
      <c r="X42" s="3"/>
      <c r="Y42" s="3"/>
      <c r="Z42" s="3"/>
      <c r="AA42" s="205"/>
      <c r="AB42" s="228"/>
    </row>
    <row r="43" spans="6:39" ht="19.5" thickBot="1">
      <c r="R43" s="50"/>
      <c r="S43" s="1380" t="s">
        <v>787</v>
      </c>
      <c r="T43" s="1383"/>
      <c r="U43" s="1409"/>
      <c r="V43" s="1410" t="e">
        <f>(10^(((0.621*V37)+(-1.179*(LOG(V39)))+(-0.081*(V35/V36)))))*V41</f>
        <v>#NUM!</v>
      </c>
      <c r="W43" s="1411"/>
      <c r="X43" s="671" t="s">
        <v>786</v>
      </c>
      <c r="Y43" s="672"/>
      <c r="Z43" s="3"/>
      <c r="AA43" s="205"/>
      <c r="AB43" s="674"/>
    </row>
    <row r="44" spans="6:39">
      <c r="R44" s="50"/>
      <c r="S44" s="3"/>
      <c r="T44" s="3"/>
      <c r="U44" s="3"/>
      <c r="V44" s="3"/>
      <c r="W44" s="3"/>
      <c r="X44" s="3"/>
      <c r="Y44" s="3"/>
      <c r="Z44" s="3"/>
      <c r="AA44" s="205"/>
      <c r="AB44" s="674"/>
    </row>
    <row r="45" spans="6:39" ht="15.75" thickBot="1">
      <c r="R45" s="207"/>
      <c r="S45" s="208"/>
      <c r="T45" s="208"/>
      <c r="U45" s="208"/>
      <c r="V45" s="208"/>
      <c r="W45" s="208"/>
      <c r="X45" s="208"/>
      <c r="Y45" s="208"/>
      <c r="Z45" s="208"/>
      <c r="AA45" s="206"/>
      <c r="AB45" s="675"/>
    </row>
    <row r="46" spans="6:39">
      <c r="R46" s="675"/>
      <c r="S46" s="675"/>
      <c r="T46" s="272"/>
      <c r="U46" s="272"/>
      <c r="V46" s="675"/>
      <c r="W46" s="675"/>
      <c r="X46" s="675"/>
      <c r="Y46" s="675"/>
      <c r="Z46" s="675"/>
      <c r="AA46" s="675"/>
      <c r="AB46" s="675"/>
    </row>
    <row r="47" spans="6:39">
      <c r="R47" s="675"/>
      <c r="S47" s="675"/>
      <c r="T47" s="272"/>
      <c r="U47" s="272"/>
      <c r="V47" s="675"/>
      <c r="W47" s="675"/>
      <c r="X47" s="675"/>
      <c r="Y47" s="675"/>
      <c r="Z47" s="675"/>
      <c r="AA47" s="675"/>
      <c r="AB47" s="675"/>
    </row>
    <row r="48" spans="6:39" ht="15.75">
      <c r="F48" s="1391"/>
      <c r="G48" s="1391"/>
      <c r="H48" s="33"/>
      <c r="R48" s="675"/>
      <c r="S48" s="675"/>
      <c r="T48" s="272"/>
      <c r="U48" s="272"/>
      <c r="V48" s="675"/>
      <c r="W48" s="675"/>
      <c r="X48" s="675"/>
      <c r="Y48" s="675"/>
      <c r="Z48" s="675"/>
      <c r="AA48" s="675"/>
      <c r="AB48" s="675"/>
    </row>
    <row r="49" spans="6:30" ht="30" customHeight="1">
      <c r="F49" s="66"/>
      <c r="G49" s="78"/>
      <c r="H49" s="78"/>
      <c r="I49" s="79"/>
      <c r="J49" s="79"/>
      <c r="K49" s="1377"/>
      <c r="L49" s="1377"/>
      <c r="M49" s="1377"/>
      <c r="N49" s="1377"/>
      <c r="O49" s="984"/>
      <c r="P49" s="984"/>
      <c r="Q49" s="101"/>
      <c r="R49" s="269"/>
      <c r="S49" s="269"/>
      <c r="T49" s="676"/>
      <c r="U49" s="676"/>
      <c r="V49" s="675"/>
      <c r="W49" s="675"/>
      <c r="X49" s="675"/>
      <c r="Y49" s="675"/>
      <c r="Z49" s="675"/>
      <c r="AA49" s="656"/>
      <c r="AB49" s="656"/>
    </row>
    <row r="50" spans="6:30" ht="15.75">
      <c r="F50" s="23"/>
      <c r="G50" s="80"/>
      <c r="H50" s="81"/>
      <c r="I50" s="104"/>
      <c r="J50" s="81"/>
      <c r="K50" s="1376"/>
      <c r="L50" s="1376"/>
      <c r="M50" s="1376"/>
      <c r="N50" s="1376"/>
      <c r="O50" s="1366"/>
      <c r="P50" s="1366"/>
      <c r="Q50" s="102"/>
      <c r="R50" s="102"/>
      <c r="S50" s="677"/>
      <c r="T50" s="272"/>
      <c r="V50" s="675"/>
      <c r="W50" s="675"/>
      <c r="X50" s="675"/>
      <c r="Y50" s="675"/>
      <c r="Z50" s="675"/>
      <c r="AA50" s="675"/>
      <c r="AB50" s="675"/>
    </row>
    <row r="51" spans="6:30" ht="15.75">
      <c r="F51" s="23"/>
      <c r="G51" s="80"/>
      <c r="H51" s="81"/>
      <c r="I51" s="81"/>
      <c r="J51" s="81"/>
      <c r="K51" s="1376"/>
      <c r="L51" s="1376"/>
      <c r="M51" s="1376"/>
      <c r="N51" s="1376"/>
      <c r="O51" s="1366"/>
      <c r="P51" s="1366"/>
      <c r="Q51" s="102"/>
      <c r="R51" s="102"/>
      <c r="S51" s="677"/>
      <c r="T51" s="272"/>
      <c r="V51" s="675"/>
      <c r="W51" s="675"/>
      <c r="X51" s="675"/>
      <c r="Y51" s="675"/>
      <c r="Z51" s="675"/>
      <c r="AA51" s="675"/>
      <c r="AB51" s="675"/>
    </row>
    <row r="52" spans="6:30" ht="15.75">
      <c r="F52" s="23"/>
      <c r="G52" s="80"/>
      <c r="H52" s="81"/>
      <c r="I52" s="81"/>
      <c r="J52" s="81"/>
      <c r="K52" s="1376"/>
      <c r="L52" s="1376"/>
      <c r="M52" s="1376"/>
      <c r="N52" s="1376"/>
      <c r="O52" s="1366"/>
      <c r="P52" s="1366"/>
      <c r="Q52" s="102"/>
      <c r="R52" s="102"/>
      <c r="S52" s="102"/>
      <c r="T52" s="940"/>
      <c r="U52" s="940"/>
    </row>
    <row r="53" spans="6:30" ht="16.5" thickBot="1">
      <c r="F53" s="23"/>
      <c r="G53" s="80"/>
      <c r="H53" s="81"/>
      <c r="I53" s="81"/>
      <c r="J53" s="81"/>
      <c r="K53" s="1376"/>
      <c r="L53" s="1376"/>
      <c r="M53" s="1376"/>
      <c r="N53" s="1376"/>
      <c r="O53" s="1366"/>
      <c r="P53" s="1366"/>
      <c r="Q53" s="102"/>
      <c r="R53" s="1230" t="s">
        <v>395</v>
      </c>
      <c r="S53" s="1230"/>
      <c r="T53" s="1230"/>
      <c r="U53" s="1230"/>
      <c r="V53" s="1230"/>
      <c r="W53" s="1230"/>
      <c r="X53" s="1230"/>
      <c r="Y53" s="1230"/>
      <c r="Z53" s="1230"/>
      <c r="AA53" s="1230"/>
      <c r="AB53" s="1230"/>
    </row>
    <row r="54" spans="6:30" ht="15.75">
      <c r="F54" s="23"/>
      <c r="G54" s="80"/>
      <c r="H54" s="81"/>
      <c r="I54" s="81"/>
      <c r="J54" s="81"/>
      <c r="K54" s="1376"/>
      <c r="L54" s="1376"/>
      <c r="M54" s="1376"/>
      <c r="N54" s="1376"/>
      <c r="O54" s="1366"/>
      <c r="P54" s="1366"/>
      <c r="Q54" s="102"/>
      <c r="R54" s="1220" t="s">
        <v>243</v>
      </c>
      <c r="S54" s="1142" t="s">
        <v>273</v>
      </c>
      <c r="T54" s="1143"/>
      <c r="U54" s="1143"/>
      <c r="V54" s="1143"/>
      <c r="W54" s="1143"/>
      <c r="X54" s="1144"/>
      <c r="Y54" s="1148" t="s">
        <v>393</v>
      </c>
      <c r="Z54" s="1149"/>
      <c r="AA54" s="1150"/>
      <c r="AB54" s="1151" t="s">
        <v>280</v>
      </c>
    </row>
    <row r="55" spans="6:30" ht="15.75">
      <c r="F55" s="23"/>
      <c r="G55" s="80"/>
      <c r="H55" s="81"/>
      <c r="I55" s="81"/>
      <c r="J55" s="81"/>
      <c r="K55" s="1376"/>
      <c r="L55" s="1376"/>
      <c r="M55" s="1376"/>
      <c r="N55" s="1376"/>
      <c r="O55" s="1366"/>
      <c r="P55" s="1366"/>
      <c r="Q55" s="102"/>
      <c r="R55" s="1221"/>
      <c r="S55" s="1145"/>
      <c r="T55" s="1146"/>
      <c r="U55" s="1146"/>
      <c r="V55" s="1146"/>
      <c r="W55" s="1146"/>
      <c r="X55" s="1147"/>
      <c r="Y55" s="140" t="s">
        <v>274</v>
      </c>
      <c r="Z55" s="1153" t="s">
        <v>275</v>
      </c>
      <c r="AA55" s="1154"/>
      <c r="AB55" s="1152"/>
    </row>
    <row r="56" spans="6:30">
      <c r="R56" s="192" t="s">
        <v>328</v>
      </c>
      <c r="S56" s="1155" t="s">
        <v>277</v>
      </c>
      <c r="T56" s="1156"/>
      <c r="U56" s="1156"/>
      <c r="V56" s="1156"/>
      <c r="W56" s="1156"/>
      <c r="X56" s="1157"/>
      <c r="Y56" s="164" t="s">
        <v>278</v>
      </c>
      <c r="Z56" s="1158" t="s">
        <v>279</v>
      </c>
      <c r="AA56" s="1159"/>
      <c r="AB56" s="193" t="s">
        <v>281</v>
      </c>
    </row>
    <row r="57" spans="6:30">
      <c r="R57" s="192" t="s">
        <v>330</v>
      </c>
      <c r="S57" s="1155" t="s">
        <v>283</v>
      </c>
      <c r="T57" s="1156"/>
      <c r="U57" s="1156"/>
      <c r="V57" s="1156"/>
      <c r="W57" s="1156"/>
      <c r="X57" s="1157"/>
      <c r="Y57" s="164" t="s">
        <v>284</v>
      </c>
      <c r="Z57" s="1158" t="s">
        <v>285</v>
      </c>
      <c r="AA57" s="1159"/>
      <c r="AB57" s="194" t="s">
        <v>286</v>
      </c>
    </row>
    <row r="58" spans="6:30">
      <c r="R58" s="1160" t="s">
        <v>332</v>
      </c>
      <c r="S58" s="1162" t="s">
        <v>288</v>
      </c>
      <c r="T58" s="1163"/>
      <c r="U58" s="1163"/>
      <c r="V58" s="1163"/>
      <c r="W58" s="1163"/>
      <c r="X58" s="1164"/>
      <c r="Y58" s="1168" t="s">
        <v>289</v>
      </c>
      <c r="Z58" s="1170" t="s">
        <v>290</v>
      </c>
      <c r="AA58" s="1171"/>
      <c r="AB58" s="1279" t="s">
        <v>291</v>
      </c>
    </row>
    <row r="59" spans="6:30">
      <c r="R59" s="1161"/>
      <c r="S59" s="1165"/>
      <c r="T59" s="1166"/>
      <c r="U59" s="1166"/>
      <c r="V59" s="1166"/>
      <c r="W59" s="1166"/>
      <c r="X59" s="1167"/>
      <c r="Y59" s="1169"/>
      <c r="Z59" s="1172"/>
      <c r="AA59" s="1173"/>
      <c r="AB59" s="1280"/>
    </row>
    <row r="60" spans="6:30">
      <c r="R60" s="192" t="s">
        <v>334</v>
      </c>
      <c r="S60" s="1155" t="s">
        <v>293</v>
      </c>
      <c r="T60" s="1156"/>
      <c r="U60" s="1156"/>
      <c r="V60" s="1156"/>
      <c r="W60" s="1156"/>
      <c r="X60" s="1157"/>
      <c r="Y60" s="164" t="s">
        <v>294</v>
      </c>
      <c r="Z60" s="1158" t="s">
        <v>295</v>
      </c>
      <c r="AA60" s="1159"/>
      <c r="AB60" s="194" t="s">
        <v>296</v>
      </c>
    </row>
    <row r="61" spans="6:30" ht="15" customHeight="1">
      <c r="R61" s="1160" t="s">
        <v>562</v>
      </c>
      <c r="S61" s="1282" t="s">
        <v>298</v>
      </c>
      <c r="T61" s="1283"/>
      <c r="U61" s="1283"/>
      <c r="V61" s="1283"/>
      <c r="W61" s="1283"/>
      <c r="X61" s="1284"/>
      <c r="Y61" s="1168" t="s">
        <v>396</v>
      </c>
      <c r="Z61" s="1170" t="s">
        <v>299</v>
      </c>
      <c r="AA61" s="1171"/>
      <c r="AB61" s="1279" t="s">
        <v>300</v>
      </c>
      <c r="AD61" s="106"/>
    </row>
    <row r="62" spans="6:30" ht="15" customHeight="1">
      <c r="R62" s="1281"/>
      <c r="S62" s="1285"/>
      <c r="T62" s="1286"/>
      <c r="U62" s="1286"/>
      <c r="V62" s="1286"/>
      <c r="W62" s="1286"/>
      <c r="X62" s="1287"/>
      <c r="Y62" s="1291"/>
      <c r="Z62" s="1292"/>
      <c r="AA62" s="1293"/>
      <c r="AB62" s="1294"/>
    </row>
    <row r="63" spans="6:30">
      <c r="R63" s="1161"/>
      <c r="S63" s="1288"/>
      <c r="T63" s="1289"/>
      <c r="U63" s="1289"/>
      <c r="V63" s="1289"/>
      <c r="W63" s="1289"/>
      <c r="X63" s="1290"/>
      <c r="Y63" s="1169"/>
      <c r="Z63" s="1172"/>
      <c r="AA63" s="1173"/>
      <c r="AB63" s="1280"/>
    </row>
    <row r="64" spans="6:30" ht="15" customHeight="1">
      <c r="R64" s="1295" t="s">
        <v>563</v>
      </c>
      <c r="S64" s="1298" t="s">
        <v>302</v>
      </c>
      <c r="T64" s="1299"/>
      <c r="U64" s="1299"/>
      <c r="V64" s="1299"/>
      <c r="W64" s="1299"/>
      <c r="X64" s="1300"/>
      <c r="Y64" s="1307"/>
      <c r="Z64" s="1170" t="s">
        <v>303</v>
      </c>
      <c r="AA64" s="1171"/>
      <c r="AB64" s="1279" t="s">
        <v>304</v>
      </c>
    </row>
    <row r="65" spans="18:28">
      <c r="R65" s="1296"/>
      <c r="S65" s="1301"/>
      <c r="T65" s="1302"/>
      <c r="U65" s="1302"/>
      <c r="V65" s="1302"/>
      <c r="W65" s="1302"/>
      <c r="X65" s="1303"/>
      <c r="Y65" s="1308"/>
      <c r="Z65" s="1292"/>
      <c r="AA65" s="1293"/>
      <c r="AB65" s="1294"/>
    </row>
    <row r="66" spans="18:28">
      <c r="R66" s="1296"/>
      <c r="S66" s="1301"/>
      <c r="T66" s="1302"/>
      <c r="U66" s="1302"/>
      <c r="V66" s="1302"/>
      <c r="W66" s="1302"/>
      <c r="X66" s="1303"/>
      <c r="Y66" s="1308"/>
      <c r="Z66" s="1292"/>
      <c r="AA66" s="1293"/>
      <c r="AB66" s="1294"/>
    </row>
    <row r="67" spans="18:28">
      <c r="R67" s="1296"/>
      <c r="S67" s="1301"/>
      <c r="T67" s="1302"/>
      <c r="U67" s="1302"/>
      <c r="V67" s="1302"/>
      <c r="W67" s="1302"/>
      <c r="X67" s="1303"/>
      <c r="Y67" s="1308"/>
      <c r="Z67" s="1292"/>
      <c r="AA67" s="1293"/>
      <c r="AB67" s="1294"/>
    </row>
    <row r="68" spans="18:28">
      <c r="R68" s="1296"/>
      <c r="S68" s="1301"/>
      <c r="T68" s="1302"/>
      <c r="U68" s="1302"/>
      <c r="V68" s="1302"/>
      <c r="W68" s="1302"/>
      <c r="X68" s="1303"/>
      <c r="Y68" s="1308"/>
      <c r="Z68" s="1292"/>
      <c r="AA68" s="1293"/>
      <c r="AB68" s="1294"/>
    </row>
    <row r="69" spans="18:28">
      <c r="R69" s="1296"/>
      <c r="S69" s="1301"/>
      <c r="T69" s="1302"/>
      <c r="U69" s="1302"/>
      <c r="V69" s="1302"/>
      <c r="W69" s="1302"/>
      <c r="X69" s="1303"/>
      <c r="Y69" s="1308"/>
      <c r="Z69" s="1292"/>
      <c r="AA69" s="1293"/>
      <c r="AB69" s="1294"/>
    </row>
    <row r="70" spans="18:28">
      <c r="R70" s="1296"/>
      <c r="S70" s="1301"/>
      <c r="T70" s="1302"/>
      <c r="U70" s="1302"/>
      <c r="V70" s="1302"/>
      <c r="W70" s="1302"/>
      <c r="X70" s="1303"/>
      <c r="Y70" s="1308"/>
      <c r="Z70" s="1292"/>
      <c r="AA70" s="1293"/>
      <c r="AB70" s="1294"/>
    </row>
    <row r="71" spans="18:28">
      <c r="R71" s="1296"/>
      <c r="S71" s="1301"/>
      <c r="T71" s="1302"/>
      <c r="U71" s="1302"/>
      <c r="V71" s="1302"/>
      <c r="W71" s="1302"/>
      <c r="X71" s="1303"/>
      <c r="Y71" s="1308"/>
      <c r="Z71" s="1292"/>
      <c r="AA71" s="1293"/>
      <c r="AB71" s="1294"/>
    </row>
    <row r="72" spans="18:28" ht="15.75" thickBot="1">
      <c r="R72" s="1297"/>
      <c r="S72" s="1304"/>
      <c r="T72" s="1305"/>
      <c r="U72" s="1305"/>
      <c r="V72" s="1305"/>
      <c r="W72" s="1305"/>
      <c r="X72" s="1306"/>
      <c r="Y72" s="1309"/>
      <c r="Z72" s="1310"/>
      <c r="AA72" s="1311"/>
      <c r="AB72" s="1312"/>
    </row>
    <row r="73" spans="18:28">
      <c r="S73" s="105"/>
      <c r="T73" s="105"/>
      <c r="U73" s="105"/>
      <c r="V73" s="105"/>
      <c r="W73" s="105"/>
      <c r="X73" s="105"/>
    </row>
    <row r="117" spans="26:26">
      <c r="Z117" s="107" t="s">
        <v>305</v>
      </c>
    </row>
    <row r="199" spans="1:3">
      <c r="C199" s="3"/>
    </row>
    <row r="201" spans="1:3">
      <c r="A201" s="3"/>
      <c r="B201" s="3"/>
    </row>
    <row r="202" spans="1:3">
      <c r="A202" s="3"/>
      <c r="B202" s="3"/>
    </row>
    <row r="203" spans="1:3">
      <c r="A203" s="3"/>
      <c r="B203" s="3"/>
    </row>
    <row r="204" spans="1:3">
      <c r="A204" s="3"/>
      <c r="B204" s="3"/>
    </row>
    <row r="205" spans="1:3">
      <c r="A205" s="3"/>
      <c r="B205" s="3"/>
    </row>
    <row r="206" spans="1:3">
      <c r="A206" s="3"/>
      <c r="B206" s="3"/>
    </row>
    <row r="300" spans="1:8">
      <c r="A300" t="s">
        <v>440</v>
      </c>
      <c r="B300">
        <f>COUNTIF(AE4:AE9,"Orta Tehlike")</f>
        <v>0</v>
      </c>
      <c r="G300" t="s">
        <v>440</v>
      </c>
      <c r="H300">
        <f>COUNTIF(W4:W9,"B - Orta Tehlike")</f>
        <v>0</v>
      </c>
    </row>
    <row r="301" spans="1:8">
      <c r="A301" t="s">
        <v>441</v>
      </c>
      <c r="B301">
        <f>COUNTIF(AE4:AE9,"Yüksek Tehlike")</f>
        <v>0</v>
      </c>
      <c r="G301" t="s">
        <v>441</v>
      </c>
      <c r="H301">
        <f>COUNTIF(W4:W9,"C - Yüksek Tehlike")</f>
        <v>0</v>
      </c>
    </row>
    <row r="302" spans="1:8">
      <c r="A302" t="s">
        <v>442</v>
      </c>
      <c r="B302">
        <f>COUNTIF(AE4:AE9,"Düşük Tehlike")</f>
        <v>0</v>
      </c>
      <c r="G302" t="s">
        <v>442</v>
      </c>
      <c r="H302">
        <f>COUNTIF(W4:W9,"A - Düşük Tehlike")</f>
        <v>0</v>
      </c>
    </row>
    <row r="303" spans="1:8">
      <c r="A303" t="s">
        <v>443</v>
      </c>
      <c r="B303">
        <f>COUNTIF(AE4:AE9,"Çok Yüksek Tehlike")</f>
        <v>0</v>
      </c>
      <c r="G303" t="s">
        <v>443</v>
      </c>
      <c r="H303">
        <f>COUNTIF(W4:W9,"D - Çok Yüksek Tehlike")</f>
        <v>0</v>
      </c>
    </row>
    <row r="400" spans="18:18" ht="18.75">
      <c r="R400" s="244" t="s">
        <v>417</v>
      </c>
    </row>
    <row r="401" spans="18:18" ht="18.75">
      <c r="R401" s="244" t="s">
        <v>276</v>
      </c>
    </row>
    <row r="402" spans="18:18" ht="18.75">
      <c r="R402" s="244" t="s">
        <v>282</v>
      </c>
    </row>
    <row r="403" spans="18:18" ht="18.75">
      <c r="R403" s="244" t="s">
        <v>287</v>
      </c>
    </row>
    <row r="404" spans="18:18" ht="18.75">
      <c r="R404" s="244" t="s">
        <v>292</v>
      </c>
    </row>
    <row r="405" spans="18:18" ht="18.75">
      <c r="R405" s="244" t="s">
        <v>297</v>
      </c>
    </row>
    <row r="406" spans="18:18" ht="18.75">
      <c r="R406" s="244" t="s">
        <v>301</v>
      </c>
    </row>
  </sheetData>
  <sheetProtection algorithmName="SHA-512" hashValue="wnfW8C7RdKuzzoyCYymeNsHuo0Ul+cxJlXtTklglpCRjPwb3MTT0XVgTZhi1kRnd+BcvDlSrAevE+ZIOWQQdaQ==" saltValue="F9jc/0v/isNuZiOfmgX+MA==" spinCount="100000" sheet="1" objects="1" scenarios="1"/>
  <mergeCells count="166">
    <mergeCell ref="AI17:AK17"/>
    <mergeCell ref="AI18:AK18"/>
    <mergeCell ref="AI19:AK19"/>
    <mergeCell ref="AI20:AK20"/>
    <mergeCell ref="AI21:AK21"/>
    <mergeCell ref="AI22:AK22"/>
    <mergeCell ref="AH16:AK16"/>
    <mergeCell ref="A1:B17"/>
    <mergeCell ref="E14:F14"/>
    <mergeCell ref="O13:P13"/>
    <mergeCell ref="O14:P14"/>
    <mergeCell ref="E12:F12"/>
    <mergeCell ref="S16:Z16"/>
    <mergeCell ref="S17:T18"/>
    <mergeCell ref="U17:V18"/>
    <mergeCell ref="W17:X18"/>
    <mergeCell ref="Y17:Z18"/>
    <mergeCell ref="R2:Y2"/>
    <mergeCell ref="Z3:AA3"/>
    <mergeCell ref="Z4:AA4"/>
    <mergeCell ref="Z5:AA5"/>
    <mergeCell ref="Z6:AA6"/>
    <mergeCell ref="Z7:AA7"/>
    <mergeCell ref="Z8:AA8"/>
    <mergeCell ref="Z9:AA9"/>
    <mergeCell ref="D1:I2"/>
    <mergeCell ref="AH3:AI3"/>
    <mergeCell ref="AH4:AI4"/>
    <mergeCell ref="AH5:AI5"/>
    <mergeCell ref="AH6:AI6"/>
    <mergeCell ref="AH7:AI7"/>
    <mergeCell ref="AH8:AI8"/>
    <mergeCell ref="AH9:AI9"/>
    <mergeCell ref="AE4:AG4"/>
    <mergeCell ref="AE3:AG3"/>
    <mergeCell ref="AE5:AG5"/>
    <mergeCell ref="AE6:AG6"/>
    <mergeCell ref="AE7:AG7"/>
    <mergeCell ref="AE8:AG8"/>
    <mergeCell ref="AE9:AG9"/>
    <mergeCell ref="Z61:AA63"/>
    <mergeCell ref="W3:Y3"/>
    <mergeCell ref="W4:Y4"/>
    <mergeCell ref="W5:Y5"/>
    <mergeCell ref="W6:Y6"/>
    <mergeCell ref="W7:Y7"/>
    <mergeCell ref="W8:Y8"/>
    <mergeCell ref="W9:Y9"/>
    <mergeCell ref="U20:V20"/>
    <mergeCell ref="U22:V22"/>
    <mergeCell ref="U23:V23"/>
    <mergeCell ref="W23:X23"/>
    <mergeCell ref="Y23:Z23"/>
    <mergeCell ref="U24:V24"/>
    <mergeCell ref="W22:X22"/>
    <mergeCell ref="S40:U40"/>
    <mergeCell ref="S41:U41"/>
    <mergeCell ref="V41:W41"/>
    <mergeCell ref="S42:U42"/>
    <mergeCell ref="S43:U43"/>
    <mergeCell ref="V43:W43"/>
    <mergeCell ref="Y34:AA34"/>
    <mergeCell ref="S35:U35"/>
    <mergeCell ref="S36:U36"/>
    <mergeCell ref="G27:H27"/>
    <mergeCell ref="S21:T21"/>
    <mergeCell ref="J4:J5"/>
    <mergeCell ref="J6:J7"/>
    <mergeCell ref="J8:J9"/>
    <mergeCell ref="G25:H25"/>
    <mergeCell ref="S19:T19"/>
    <mergeCell ref="U19:V19"/>
    <mergeCell ref="AB61:AB63"/>
    <mergeCell ref="J27:K27"/>
    <mergeCell ref="W19:X19"/>
    <mergeCell ref="U21:V21"/>
    <mergeCell ref="W21:X21"/>
    <mergeCell ref="W20:X20"/>
    <mergeCell ref="R53:AB53"/>
    <mergeCell ref="W24:X24"/>
    <mergeCell ref="Y24:Z24"/>
    <mergeCell ref="F48:G48"/>
    <mergeCell ref="G32:G33"/>
    <mergeCell ref="H32:H33"/>
    <mergeCell ref="I32:I33"/>
    <mergeCell ref="J32:J33"/>
    <mergeCell ref="F32:F33"/>
    <mergeCell ref="K55:L55"/>
    <mergeCell ref="R64:R72"/>
    <mergeCell ref="S64:X72"/>
    <mergeCell ref="Y64:Y72"/>
    <mergeCell ref="Z64:AA72"/>
    <mergeCell ref="AB64:AB72"/>
    <mergeCell ref="AB54:AB55"/>
    <mergeCell ref="S57:X57"/>
    <mergeCell ref="Z57:AA57"/>
    <mergeCell ref="S58:X59"/>
    <mergeCell ref="R58:R59"/>
    <mergeCell ref="Y58:Y59"/>
    <mergeCell ref="Z58:AA59"/>
    <mergeCell ref="AB58:AB59"/>
    <mergeCell ref="R54:R55"/>
    <mergeCell ref="Y54:AA54"/>
    <mergeCell ref="Z55:AA55"/>
    <mergeCell ref="S56:X56"/>
    <mergeCell ref="Z56:AA56"/>
    <mergeCell ref="S54:X55"/>
    <mergeCell ref="S60:X60"/>
    <mergeCell ref="Z60:AA60"/>
    <mergeCell ref="R61:R63"/>
    <mergeCell ref="S61:X63"/>
    <mergeCell ref="Y61:Y63"/>
    <mergeCell ref="Y19:Z19"/>
    <mergeCell ref="S20:T20"/>
    <mergeCell ref="S22:T22"/>
    <mergeCell ref="S23:T23"/>
    <mergeCell ref="S24:T24"/>
    <mergeCell ref="S37:U37"/>
    <mergeCell ref="V37:W37"/>
    <mergeCell ref="S38:U38"/>
    <mergeCell ref="S39:U39"/>
    <mergeCell ref="M55:N55"/>
    <mergeCell ref="O55:P55"/>
    <mergeCell ref="K53:L53"/>
    <mergeCell ref="M53:N53"/>
    <mergeCell ref="O53:P53"/>
    <mergeCell ref="K54:L54"/>
    <mergeCell ref="M54:N54"/>
    <mergeCell ref="O54:P54"/>
    <mergeCell ref="AK38:AL38"/>
    <mergeCell ref="K51:L51"/>
    <mergeCell ref="M51:N51"/>
    <mergeCell ref="O51:P51"/>
    <mergeCell ref="K52:L52"/>
    <mergeCell ref="M52:N52"/>
    <mergeCell ref="O52:P52"/>
    <mergeCell ref="K49:L49"/>
    <mergeCell ref="M49:N49"/>
    <mergeCell ref="O49:P49"/>
    <mergeCell ref="K50:L50"/>
    <mergeCell ref="M50:N50"/>
    <mergeCell ref="O50:P50"/>
    <mergeCell ref="AE28:AK28"/>
    <mergeCell ref="AE30:AH32"/>
    <mergeCell ref="Y22:Z22"/>
    <mergeCell ref="T52:U52"/>
    <mergeCell ref="Q25:R25"/>
    <mergeCell ref="AC13:AC14"/>
    <mergeCell ref="AD13:AD14"/>
    <mergeCell ref="AE13:AE14"/>
    <mergeCell ref="AI13:AJ14"/>
    <mergeCell ref="AI15:AJ15"/>
    <mergeCell ref="AE25:AK25"/>
    <mergeCell ref="AK39:AL39"/>
    <mergeCell ref="AK40:AL40"/>
    <mergeCell ref="AE33:AE34"/>
    <mergeCell ref="AF33:AF34"/>
    <mergeCell ref="AG33:AG34"/>
    <mergeCell ref="AH33:AH34"/>
    <mergeCell ref="AK33:AL34"/>
    <mergeCell ref="AK35:AL35"/>
    <mergeCell ref="AK36:AL36"/>
    <mergeCell ref="AK37:AL37"/>
    <mergeCell ref="AB13:AB14"/>
    <mergeCell ref="Y21:Z21"/>
    <mergeCell ref="Y20:Z20"/>
  </mergeCells>
  <conditionalFormatting sqref="D4:D15">
    <cfRule type="containsErrors" dxfId="248" priority="29">
      <formula>ISERROR(D4)</formula>
    </cfRule>
  </conditionalFormatting>
  <conditionalFormatting sqref="E12:F14">
    <cfRule type="containsText" dxfId="247" priority="18" operator="containsText" text="YANLIŞ">
      <formula>NOT(ISERROR(SEARCH("YANLIŞ",E12)))</formula>
    </cfRule>
  </conditionalFormatting>
  <conditionalFormatting sqref="E4:H9 E11:H11 E15:H15">
    <cfRule type="cellIs" dxfId="246" priority="35" operator="equal">
      <formula>0</formula>
    </cfRule>
  </conditionalFormatting>
  <conditionalFormatting sqref="E4:I9 E11:I11 E15:I15 C18:I22 AC4:AE9 AH4:AH9 D16:I17">
    <cfRule type="containsErrors" dxfId="245" priority="86">
      <formula>ISERROR(C4)</formula>
    </cfRule>
  </conditionalFormatting>
  <conditionalFormatting sqref="F21:H22">
    <cfRule type="cellIs" dxfId="244" priority="30" operator="equal">
      <formula>0</formula>
    </cfRule>
  </conditionalFormatting>
  <conditionalFormatting sqref="F13:P13">
    <cfRule type="containsErrors" dxfId="243" priority="20">
      <formula>ISERROR(F13)</formula>
    </cfRule>
  </conditionalFormatting>
  <conditionalFormatting sqref="G12:I12">
    <cfRule type="containsText" dxfId="242" priority="15" operator="containsText" text="YANLIŞ">
      <formula>NOT(ISERROR(SEARCH("YANLIŞ",G12)))</formula>
    </cfRule>
  </conditionalFormatting>
  <conditionalFormatting sqref="G13:P14">
    <cfRule type="containsText" dxfId="241" priority="23" operator="containsText" text="YANLIŞ">
      <formula>NOT(ISERROR(SEARCH("YANLIŞ",G13)))</formula>
    </cfRule>
  </conditionalFormatting>
  <conditionalFormatting sqref="G25:R27">
    <cfRule type="containsText" dxfId="240" priority="42" operator="containsText" text="YANLIŞ">
      <formula>NOT(ISERROR(SEARCH("YANLIŞ",G25)))</formula>
    </cfRule>
  </conditionalFormatting>
  <conditionalFormatting sqref="H14:I14">
    <cfRule type="containsErrors" dxfId="239" priority="21">
      <formula>ISERROR(H14)</formula>
    </cfRule>
    <cfRule type="cellIs" dxfId="238" priority="22" operator="equal">
      <formula>0</formula>
    </cfRule>
  </conditionalFormatting>
  <conditionalFormatting sqref="H50:J55">
    <cfRule type="containsErrors" dxfId="237" priority="75">
      <formula>ISERROR(H50)</formula>
    </cfRule>
  </conditionalFormatting>
  <conditionalFormatting sqref="H26:R26">
    <cfRule type="containsErrors" dxfId="236" priority="32">
      <formula>ISERROR(H26)</formula>
    </cfRule>
  </conditionalFormatting>
  <conditionalFormatting sqref="I34:J34">
    <cfRule type="containsErrors" dxfId="235" priority="58">
      <formula>ISERROR(I34)</formula>
    </cfRule>
  </conditionalFormatting>
  <conditionalFormatting sqref="J27:K27">
    <cfRule type="containsErrors" dxfId="234" priority="33">
      <formula>ISERROR(J27)</formula>
    </cfRule>
    <cfRule type="cellIs" dxfId="233" priority="34" operator="equal">
      <formula>0</formula>
    </cfRule>
  </conditionalFormatting>
  <conditionalFormatting sqref="K50:N55">
    <cfRule type="cellIs" dxfId="232" priority="77" operator="equal">
      <formula>0</formula>
    </cfRule>
    <cfRule type="containsErrors" dxfId="231" priority="78">
      <formula>ISERROR(K50)</formula>
    </cfRule>
  </conditionalFormatting>
  <conditionalFormatting sqref="O14:P14">
    <cfRule type="containsErrors" dxfId="230" priority="19">
      <formula>ISERROR(O14)</formula>
    </cfRule>
  </conditionalFormatting>
  <conditionalFormatting sqref="Q50:Q55">
    <cfRule type="containsErrors" dxfId="229" priority="76">
      <formula>ISERROR(Q50)</formula>
    </cfRule>
  </conditionalFormatting>
  <conditionalFormatting sqref="Q27:R27">
    <cfRule type="containsErrors" dxfId="228" priority="31">
      <formula>ISERROR(Q27)</formula>
    </cfRule>
  </conditionalFormatting>
  <conditionalFormatting sqref="R4:Z9">
    <cfRule type="containsErrors" dxfId="227" priority="85">
      <formula>ISERROR(R4)</formula>
    </cfRule>
  </conditionalFormatting>
  <conditionalFormatting sqref="R19:Z24">
    <cfRule type="containsErrors" dxfId="226" priority="90">
      <formula>ISERROR(R19)</formula>
    </cfRule>
  </conditionalFormatting>
  <conditionalFormatting sqref="S32:S37">
    <cfRule type="containsErrors" dxfId="225" priority="41">
      <formula>ISERROR(S32)</formula>
    </cfRule>
  </conditionalFormatting>
  <conditionalFormatting sqref="T34:V39">
    <cfRule type="containsErrors" dxfId="224" priority="6">
      <formula>ISERROR(T34)</formula>
    </cfRule>
  </conditionalFormatting>
  <conditionalFormatting sqref="V42">
    <cfRule type="cellIs" dxfId="223" priority="3" operator="equal">
      <formula>-0.17</formula>
    </cfRule>
  </conditionalFormatting>
  <conditionalFormatting sqref="V41:W41">
    <cfRule type="containsErrors" dxfId="222" priority="2">
      <formula>ISERROR(V41)</formula>
    </cfRule>
  </conditionalFormatting>
  <conditionalFormatting sqref="V43:W43">
    <cfRule type="containsErrors" dxfId="221" priority="84">
      <formula>ISERROR(V43)</formula>
    </cfRule>
  </conditionalFormatting>
  <conditionalFormatting sqref="Y11">
    <cfRule type="containsErrors" dxfId="220" priority="79">
      <formula>ISERROR(Y11)</formula>
    </cfRule>
  </conditionalFormatting>
  <conditionalFormatting sqref="AB15:AJ15 AB16:AB20 AG16:AG20">
    <cfRule type="containsErrors" dxfId="219" priority="89">
      <formula>ISERROR(AB15)</formula>
    </cfRule>
  </conditionalFormatting>
  <conditionalFormatting sqref="AC17:AF22">
    <cfRule type="containsErrors" dxfId="218" priority="88">
      <formula>ISERROR(AC17)</formula>
    </cfRule>
  </conditionalFormatting>
  <conditionalFormatting sqref="AE35:AL40">
    <cfRule type="containsErrors" dxfId="217" priority="91">
      <formula>ISERROR(AE35)</formula>
    </cfRule>
  </conditionalFormatting>
  <conditionalFormatting sqref="AF17:AF22">
    <cfRule type="cellIs" dxfId="216" priority="5" operator="equal">
      <formula>0</formula>
    </cfRule>
  </conditionalFormatting>
  <conditionalFormatting sqref="AG11">
    <cfRule type="containsErrors" dxfId="215" priority="80">
      <formula>ISERROR(AG11)</formula>
    </cfRule>
  </conditionalFormatting>
  <conditionalFormatting sqref="AH17:AK22">
    <cfRule type="containsErrors" dxfId="214" priority="92">
      <formula>ISERROR(AH17)</formula>
    </cfRule>
  </conditionalFormatting>
  <dataValidations disablePrompts="1" count="1">
    <dataValidation type="list" allowBlank="1" showInputMessage="1" showErrorMessage="1" sqref="AI35:AJ35" xr:uid="{00000000-0002-0000-0C00-000000000000}">
      <formula1>$R$400:$R$406</formula1>
    </dataValidation>
  </dataValidations>
  <pageMargins left="0.7" right="0.7" top="0.75" bottom="0.75" header="0.3" footer="0.3"/>
  <pageSetup paperSize="9" orientation="portrait" r:id="rId1"/>
  <ignoredErrors>
    <ignoredError sqref="W4:W9 U10" evalError="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6"/>
  <dimension ref="A1:AR158"/>
  <sheetViews>
    <sheetView showGridLines="0" showRowColHeaders="0" topLeftCell="H34" workbookViewId="0">
      <selection activeCell="H8" sqref="H8"/>
    </sheetView>
  </sheetViews>
  <sheetFormatPr defaultRowHeight="15"/>
  <cols>
    <col min="1" max="1" width="4.85546875" customWidth="1"/>
    <col min="17" max="17" width="3.5703125" customWidth="1"/>
    <col min="18" max="18" width="7.140625" customWidth="1"/>
    <col min="29" max="29" width="9.85546875" customWidth="1"/>
  </cols>
  <sheetData>
    <row r="1" spans="1:44" ht="15.75" thickBot="1"/>
    <row r="2" spans="1:44" ht="15.75" thickBot="1">
      <c r="A2" s="299"/>
      <c r="B2" s="300"/>
      <c r="C2" s="1459" t="s">
        <v>526</v>
      </c>
      <c r="D2" s="1459"/>
      <c r="E2" s="300"/>
      <c r="F2" s="1460" t="s">
        <v>527</v>
      </c>
      <c r="G2" s="897"/>
      <c r="H2" s="897"/>
      <c r="I2" s="300"/>
      <c r="J2" s="300"/>
      <c r="K2" s="300"/>
      <c r="L2" s="300"/>
      <c r="M2" s="300"/>
      <c r="N2" s="300"/>
      <c r="O2" s="300"/>
      <c r="P2" s="300"/>
      <c r="Q2" s="294"/>
    </row>
    <row r="3" spans="1:44" ht="19.5" thickBot="1">
      <c r="A3" s="301"/>
      <c r="B3" s="1"/>
      <c r="C3" s="1"/>
      <c r="D3" s="1"/>
      <c r="E3" s="1"/>
      <c r="F3" s="302" t="s">
        <v>496</v>
      </c>
      <c r="G3" s="1477">
        <v>0.254</v>
      </c>
      <c r="H3" s="1478"/>
      <c r="I3" s="1"/>
      <c r="J3" s="1"/>
      <c r="K3" s="1"/>
      <c r="L3" s="1"/>
      <c r="M3" s="1"/>
      <c r="N3" s="1"/>
      <c r="O3" s="1"/>
      <c r="P3" s="1"/>
      <c r="Q3" s="295"/>
      <c r="AB3" s="3"/>
      <c r="AC3" s="3"/>
      <c r="AD3" s="3"/>
      <c r="AE3" s="532"/>
      <c r="AF3" s="532"/>
      <c r="AG3" s="532"/>
      <c r="AH3" s="532"/>
      <c r="AI3" s="532"/>
      <c r="AJ3" s="3"/>
      <c r="AK3" s="3"/>
      <c r="AL3" s="3"/>
      <c r="AM3" s="3"/>
      <c r="AN3" s="3"/>
      <c r="AO3" s="3"/>
      <c r="AP3" s="3"/>
      <c r="AQ3" s="3"/>
      <c r="AR3" s="3"/>
    </row>
    <row r="4" spans="1:44" ht="15.75" thickBot="1">
      <c r="A4" s="301"/>
      <c r="B4" s="1"/>
      <c r="C4" s="1"/>
      <c r="D4" s="1"/>
      <c r="E4" s="1"/>
      <c r="F4" s="1"/>
      <c r="G4" s="1"/>
      <c r="H4" s="1"/>
      <c r="I4" s="1"/>
      <c r="J4" s="1"/>
      <c r="K4" s="1"/>
      <c r="L4" s="1"/>
      <c r="M4" s="1"/>
      <c r="N4" s="1"/>
      <c r="O4" s="1"/>
      <c r="P4" s="1"/>
      <c r="Q4" s="295"/>
      <c r="AB4" s="3"/>
      <c r="AC4" s="3"/>
      <c r="AD4" s="3"/>
      <c r="AE4" s="3"/>
      <c r="AF4" s="3"/>
      <c r="AG4" s="3"/>
      <c r="AH4" s="3"/>
      <c r="AI4" s="3"/>
      <c r="AJ4" s="3"/>
      <c r="AK4" s="3"/>
      <c r="AL4" s="3"/>
      <c r="AM4" s="3"/>
      <c r="AN4" s="3"/>
      <c r="AO4" s="3"/>
      <c r="AP4" s="3"/>
      <c r="AQ4" s="3"/>
      <c r="AR4" s="3"/>
    </row>
    <row r="5" spans="1:44" ht="16.5" thickTop="1" thickBot="1">
      <c r="A5" s="110"/>
      <c r="B5" s="1452" t="s">
        <v>480</v>
      </c>
      <c r="C5" s="1453"/>
      <c r="D5" s="1453"/>
      <c r="E5" s="1453"/>
      <c r="F5" s="1453"/>
      <c r="G5" s="1453"/>
      <c r="H5" s="1454"/>
      <c r="I5" s="3"/>
      <c r="J5" s="1452" t="s">
        <v>480</v>
      </c>
      <c r="K5" s="1453"/>
      <c r="L5" s="1453"/>
      <c r="M5" s="1453"/>
      <c r="N5" s="1453"/>
      <c r="O5" s="1453"/>
      <c r="P5" s="1454"/>
      <c r="Q5" s="295"/>
      <c r="S5" s="1452" t="s">
        <v>480</v>
      </c>
      <c r="T5" s="1453"/>
      <c r="U5" s="1453"/>
      <c r="V5" s="1453"/>
      <c r="W5" s="1453"/>
      <c r="X5" s="1453"/>
      <c r="Y5" s="1454"/>
      <c r="AB5" s="3"/>
      <c r="AC5" s="3"/>
      <c r="AD5" s="3"/>
      <c r="AE5" s="3"/>
      <c r="AF5" s="3"/>
      <c r="AG5" s="3"/>
      <c r="AH5" s="3"/>
      <c r="AI5" s="3"/>
      <c r="AJ5" s="3"/>
      <c r="AK5" s="3"/>
      <c r="AL5" s="3"/>
      <c r="AM5" s="3"/>
      <c r="AN5" s="3"/>
      <c r="AO5" s="3"/>
      <c r="AP5" s="3"/>
      <c r="AQ5" s="3"/>
      <c r="AR5" s="3"/>
    </row>
    <row r="6" spans="1:44" ht="16.5" thickBot="1">
      <c r="A6" s="110"/>
      <c r="B6" s="283" t="s">
        <v>46</v>
      </c>
      <c r="C6" s="284"/>
      <c r="D6" s="20"/>
      <c r="E6" s="20"/>
      <c r="F6" s="20"/>
      <c r="G6" s="20"/>
      <c r="H6" s="285"/>
      <c r="I6" s="3"/>
      <c r="J6" s="283" t="s">
        <v>49</v>
      </c>
      <c r="K6" s="284"/>
      <c r="L6" s="20"/>
      <c r="M6" s="20"/>
      <c r="N6" s="20"/>
      <c r="O6" s="20"/>
      <c r="P6" s="285"/>
      <c r="Q6" s="295"/>
      <c r="S6" s="290"/>
      <c r="T6" s="284"/>
      <c r="U6" s="20"/>
      <c r="V6" s="20"/>
      <c r="W6" s="20"/>
      <c r="X6" s="20"/>
      <c r="Y6" s="285"/>
      <c r="AB6" s="3"/>
      <c r="AC6" s="3"/>
      <c r="AD6" s="3"/>
      <c r="AE6" s="3"/>
      <c r="AF6" s="3"/>
      <c r="AG6" s="3"/>
      <c r="AH6" s="3"/>
      <c r="AI6" s="3"/>
      <c r="AJ6" s="3"/>
      <c r="AK6" s="3"/>
      <c r="AL6" s="3"/>
      <c r="AM6" s="3"/>
      <c r="AN6" s="3"/>
      <c r="AO6" s="3"/>
      <c r="AP6" s="3"/>
      <c r="AQ6" s="3"/>
      <c r="AR6" s="3"/>
    </row>
    <row r="7" spans="1:44" ht="15.75" thickBot="1">
      <c r="A7" s="110"/>
      <c r="B7" s="288"/>
      <c r="C7" s="1442" t="s">
        <v>481</v>
      </c>
      <c r="D7" s="1443"/>
      <c r="E7" s="1442">
        <f>Sismik!C7</f>
        <v>0</v>
      </c>
      <c r="F7" s="1443"/>
      <c r="G7" s="20" t="s">
        <v>488</v>
      </c>
      <c r="H7" s="285"/>
      <c r="I7" s="3"/>
      <c r="J7" s="288"/>
      <c r="K7" s="1442" t="s">
        <v>481</v>
      </c>
      <c r="L7" s="1443"/>
      <c r="M7" s="1442">
        <f>Sismik!C86</f>
        <v>0</v>
      </c>
      <c r="N7" s="1443"/>
      <c r="O7" s="20" t="s">
        <v>488</v>
      </c>
      <c r="P7" s="285"/>
      <c r="Q7" s="295"/>
      <c r="S7" s="288"/>
      <c r="T7" s="1442" t="s">
        <v>481</v>
      </c>
      <c r="U7" s="1443"/>
      <c r="V7" s="1465"/>
      <c r="W7" s="1466"/>
      <c r="X7" s="20" t="s">
        <v>488</v>
      </c>
      <c r="Y7" s="285"/>
      <c r="AB7" s="3"/>
      <c r="AC7" s="579"/>
      <c r="AD7" s="3"/>
      <c r="AE7" s="3"/>
      <c r="AF7" s="3"/>
      <c r="AG7" s="3"/>
      <c r="AH7" s="3"/>
      <c r="AI7" s="3"/>
      <c r="AJ7" s="3"/>
      <c r="AK7" s="1107"/>
      <c r="AL7" s="1107"/>
      <c r="AM7" s="1107"/>
      <c r="AN7" s="1107"/>
      <c r="AO7" s="1107"/>
      <c r="AP7" s="1107"/>
      <c r="AQ7" s="3"/>
      <c r="AR7" s="366"/>
    </row>
    <row r="8" spans="1:44" ht="15.75" thickBot="1">
      <c r="A8" s="110"/>
      <c r="B8" s="288"/>
      <c r="C8" s="1442" t="s">
        <v>489</v>
      </c>
      <c r="D8" s="1443"/>
      <c r="E8" s="1444">
        <f>Sismik!C8</f>
        <v>0</v>
      </c>
      <c r="F8" s="1443"/>
      <c r="G8" s="20" t="s">
        <v>488</v>
      </c>
      <c r="H8" s="285"/>
      <c r="I8" s="3"/>
      <c r="J8" s="288"/>
      <c r="K8" s="1442" t="s">
        <v>489</v>
      </c>
      <c r="L8" s="1443"/>
      <c r="M8" s="1444">
        <f>Sismik!C87</f>
        <v>0</v>
      </c>
      <c r="N8" s="1443"/>
      <c r="O8" s="20" t="s">
        <v>488</v>
      </c>
      <c r="P8" s="285"/>
      <c r="Q8" s="295"/>
      <c r="S8" s="288"/>
      <c r="T8" s="1442" t="s">
        <v>489</v>
      </c>
      <c r="U8" s="1443"/>
      <c r="V8" s="1467"/>
      <c r="W8" s="1466"/>
      <c r="X8" s="20" t="s">
        <v>488</v>
      </c>
      <c r="Y8" s="326" t="s">
        <v>528</v>
      </c>
      <c r="AB8" s="3"/>
      <c r="AC8" s="3"/>
      <c r="AD8" s="3"/>
      <c r="AE8" s="580"/>
      <c r="AF8" s="3"/>
      <c r="AG8" s="3"/>
      <c r="AH8" s="3"/>
      <c r="AI8" s="3"/>
      <c r="AJ8" s="3"/>
      <c r="AK8" s="1521"/>
      <c r="AL8" s="1521"/>
      <c r="AM8" s="1521"/>
      <c r="AN8" s="1521"/>
      <c r="AO8" s="1521"/>
      <c r="AP8" s="1521"/>
      <c r="AQ8" s="3"/>
      <c r="AR8" s="684"/>
    </row>
    <row r="9" spans="1:44" ht="15.75" thickBot="1">
      <c r="A9" s="110"/>
      <c r="B9" s="288"/>
      <c r="C9" s="1442" t="s">
        <v>482</v>
      </c>
      <c r="D9" s="1443"/>
      <c r="E9" s="1442">
        <f>IF(F152=1,G3,IF(F152=2,I154,IF(F152=3,I155,IF(F152=4,I156,IF(F152=5,I157)))))</f>
        <v>0.254</v>
      </c>
      <c r="F9" s="1443"/>
      <c r="G9" s="20"/>
      <c r="H9" s="285"/>
      <c r="I9" s="3"/>
      <c r="J9" s="288"/>
      <c r="K9" s="1442" t="s">
        <v>482</v>
      </c>
      <c r="L9" s="1443"/>
      <c r="M9" s="1442">
        <f>IF(F152=1,G3,IF(F152=2,I154,IF(F152=3,I155,IF(F152=4,I156,IF(F152=5,I157)))))</f>
        <v>0.254</v>
      </c>
      <c r="N9" s="1443"/>
      <c r="O9" s="20"/>
      <c r="P9" s="285"/>
      <c r="Q9" s="295"/>
      <c r="S9" s="288"/>
      <c r="T9" s="1442" t="s">
        <v>482</v>
      </c>
      <c r="U9" s="1443"/>
      <c r="V9" s="1444">
        <f>IF(H152=1,V13,IF(H152=2,I154,IF(H152=3,I155,IF(H152=4,I156,IF(H152=5,I157)))))</f>
        <v>0.27200000000000002</v>
      </c>
      <c r="W9" s="1445"/>
      <c r="X9" s="1468"/>
      <c r="Y9" s="1469"/>
      <c r="AB9" s="3"/>
      <c r="AC9" s="3"/>
      <c r="AD9" s="3"/>
      <c r="AE9" s="3"/>
      <c r="AF9" s="3"/>
      <c r="AG9" s="3"/>
      <c r="AH9" s="3"/>
      <c r="AI9" s="3"/>
      <c r="AJ9" s="3"/>
      <c r="AK9" s="3"/>
      <c r="AL9" s="3"/>
      <c r="AM9" s="3"/>
      <c r="AN9" s="3"/>
      <c r="AO9" s="3"/>
      <c r="AP9" s="3"/>
      <c r="AQ9" s="3"/>
      <c r="AR9" s="3"/>
    </row>
    <row r="10" spans="1:44" ht="15.75" thickBot="1">
      <c r="A10" s="110"/>
      <c r="B10" s="288"/>
      <c r="C10" s="1442" t="s">
        <v>485</v>
      </c>
      <c r="D10" s="1443"/>
      <c r="E10" s="1444" t="e">
        <f>(0.0001*(0.8)*(E7^2))/(9.8*E8*(1-0.015*E8))</f>
        <v>#DIV/0!</v>
      </c>
      <c r="F10" s="1445"/>
      <c r="G10" s="20" t="s">
        <v>487</v>
      </c>
      <c r="H10" s="285"/>
      <c r="I10" s="3"/>
      <c r="J10" s="288"/>
      <c r="K10" s="1442" t="s">
        <v>485</v>
      </c>
      <c r="L10" s="1443"/>
      <c r="M10" s="1444" t="e">
        <f>(0.0001*(0.8)*(M7^2))/(9.8*M8*(1-0.015*M8))</f>
        <v>#DIV/0!</v>
      </c>
      <c r="N10" s="1445"/>
      <c r="O10" s="20" t="s">
        <v>487</v>
      </c>
      <c r="P10" s="285"/>
      <c r="Q10" s="295"/>
      <c r="S10" s="288"/>
      <c r="T10" s="1442" t="s">
        <v>485</v>
      </c>
      <c r="U10" s="1443"/>
      <c r="V10" s="1444" t="e">
        <f>(0.0001*(0.8)*(V7^2))/(9.8*V8*(1-0.015*V8))</f>
        <v>#DIV/0!</v>
      </c>
      <c r="W10" s="1445"/>
      <c r="X10" s="20" t="s">
        <v>487</v>
      </c>
      <c r="Y10" s="285"/>
      <c r="AB10" s="3"/>
      <c r="AC10" s="3"/>
      <c r="AD10" s="1522"/>
      <c r="AE10" s="1107"/>
      <c r="AF10" s="151"/>
      <c r="AG10" s="579"/>
      <c r="AH10" s="3"/>
      <c r="AI10" s="3"/>
      <c r="AJ10" s="3"/>
      <c r="AK10" s="1523"/>
      <c r="AL10" s="1523"/>
      <c r="AM10" s="519"/>
      <c r="AN10" s="519"/>
      <c r="AO10" s="3"/>
      <c r="AP10" s="940"/>
      <c r="AQ10" s="940"/>
      <c r="AR10" s="3"/>
    </row>
    <row r="11" spans="1:44" ht="15.75" thickBot="1">
      <c r="A11" s="110"/>
      <c r="B11" s="288"/>
      <c r="C11" s="1442" t="s">
        <v>486</v>
      </c>
      <c r="D11" s="1443"/>
      <c r="E11" s="1444" t="e">
        <f>E10*1.6</f>
        <v>#DIV/0!</v>
      </c>
      <c r="F11" s="1445"/>
      <c r="G11" s="20" t="s">
        <v>487</v>
      </c>
      <c r="H11" s="285"/>
      <c r="I11" s="3"/>
      <c r="J11" s="288"/>
      <c r="K11" s="1442" t="s">
        <v>486</v>
      </c>
      <c r="L11" s="1443"/>
      <c r="M11" s="1444" t="e">
        <f>M10*1.6</f>
        <v>#DIV/0!</v>
      </c>
      <c r="N11" s="1445"/>
      <c r="O11" s="20" t="s">
        <v>487</v>
      </c>
      <c r="P11" s="285"/>
      <c r="Q11" s="295"/>
      <c r="S11" s="288"/>
      <c r="T11" s="1442" t="s">
        <v>486</v>
      </c>
      <c r="U11" s="1443"/>
      <c r="V11" s="1444" t="e">
        <f>V10*1.6</f>
        <v>#DIV/0!</v>
      </c>
      <c r="W11" s="1445"/>
      <c r="X11" s="20" t="s">
        <v>487</v>
      </c>
      <c r="Y11" s="285"/>
      <c r="AB11" s="3"/>
      <c r="AC11" s="3"/>
      <c r="AD11" s="1522"/>
      <c r="AE11" s="1107"/>
      <c r="AF11" s="694"/>
      <c r="AG11" s="579"/>
      <c r="AH11" s="3"/>
      <c r="AI11" s="3"/>
      <c r="AJ11" s="3"/>
      <c r="AK11" s="3"/>
      <c r="AL11" s="3"/>
      <c r="AM11" s="3"/>
      <c r="AN11" s="3"/>
      <c r="AO11" s="3"/>
      <c r="AP11" s="857"/>
      <c r="AQ11" s="857"/>
      <c r="AR11" s="3"/>
    </row>
    <row r="12" spans="1:44" ht="15.75" thickBot="1">
      <c r="A12" s="110"/>
      <c r="B12" s="288"/>
      <c r="C12" s="1442" t="s">
        <v>483</v>
      </c>
      <c r="D12" s="1443"/>
      <c r="E12" s="1444" t="e">
        <f>E11/E9</f>
        <v>#DIV/0!</v>
      </c>
      <c r="F12" s="1445"/>
      <c r="G12" s="1340" t="e">
        <f>IF(E12&gt;1,"Sıvılaşma Yok", "Sıvılaşabilir")</f>
        <v>#DIV/0!</v>
      </c>
      <c r="H12" s="1451"/>
      <c r="I12" s="3"/>
      <c r="J12" s="288"/>
      <c r="K12" s="1442" t="s">
        <v>483</v>
      </c>
      <c r="L12" s="1443"/>
      <c r="M12" s="1444" t="e">
        <f>M11/M9</f>
        <v>#DIV/0!</v>
      </c>
      <c r="N12" s="1445"/>
      <c r="O12" s="1340" t="e">
        <f>IF(M12&gt;1,"Sıvılaşma Yok", "Sıvılaşabilir")</f>
        <v>#DIV/0!</v>
      </c>
      <c r="P12" s="1451"/>
      <c r="Q12" s="295"/>
      <c r="S12" s="288"/>
      <c r="T12" s="1442" t="s">
        <v>483</v>
      </c>
      <c r="U12" s="1443"/>
      <c r="V12" s="1444" t="e">
        <f>V11/V9</f>
        <v>#DIV/0!</v>
      </c>
      <c r="W12" s="1445"/>
      <c r="X12" s="1340" t="e">
        <f>IF(V12&gt;1,"Sıvılaşma Yok", "Sıvılaşabilir")</f>
        <v>#DIV/0!</v>
      </c>
      <c r="Y12" s="1470"/>
      <c r="AB12" s="3"/>
      <c r="AC12" s="3"/>
      <c r="AD12" s="1522"/>
      <c r="AE12" s="1107"/>
      <c r="AF12" s="1524"/>
      <c r="AG12" s="1524"/>
      <c r="AH12" s="3"/>
      <c r="AI12" s="3"/>
      <c r="AJ12" s="3"/>
      <c r="AK12" s="88"/>
      <c r="AL12" s="88"/>
      <c r="AM12" s="88"/>
      <c r="AN12" s="88"/>
      <c r="AO12" s="88"/>
      <c r="AP12" s="88"/>
      <c r="AQ12" s="88"/>
      <c r="AR12" s="3"/>
    </row>
    <row r="13" spans="1:44" ht="15.75" thickBot="1">
      <c r="A13" s="110"/>
      <c r="B13" s="289"/>
      <c r="C13" s="286"/>
      <c r="D13" s="286"/>
      <c r="E13" s="286"/>
      <c r="F13" s="286"/>
      <c r="G13" s="286"/>
      <c r="H13" s="287"/>
      <c r="I13" s="3"/>
      <c r="J13" s="289"/>
      <c r="K13" s="286"/>
      <c r="L13" s="286"/>
      <c r="M13" s="286"/>
      <c r="N13" s="286"/>
      <c r="O13" s="286"/>
      <c r="P13" s="287"/>
      <c r="Q13" s="295"/>
      <c r="S13" s="288"/>
      <c r="T13" s="1442" t="s">
        <v>491</v>
      </c>
      <c r="U13" s="1443"/>
      <c r="V13" s="1465">
        <v>0.27200000000000002</v>
      </c>
      <c r="W13" s="1466"/>
      <c r="X13" s="20"/>
      <c r="Y13" s="285"/>
      <c r="AB13" s="3"/>
      <c r="AC13" s="1522"/>
      <c r="AD13" s="1107"/>
      <c r="AE13" s="1107"/>
      <c r="AF13" s="1522"/>
      <c r="AG13" s="1522"/>
      <c r="AH13" s="3"/>
      <c r="AI13" s="3"/>
      <c r="AJ13" s="3"/>
      <c r="AK13" s="61"/>
      <c r="AL13" s="61"/>
      <c r="AM13" s="61"/>
      <c r="AN13" s="61"/>
      <c r="AO13" s="61"/>
      <c r="AP13" s="61"/>
      <c r="AQ13" s="61"/>
      <c r="AR13" s="61"/>
    </row>
    <row r="14" spans="1:44" ht="16.5" thickTop="1" thickBot="1">
      <c r="A14" s="110"/>
      <c r="B14" s="3"/>
      <c r="C14" s="3"/>
      <c r="D14" s="3"/>
      <c r="E14" s="3"/>
      <c r="F14" s="3"/>
      <c r="G14" s="3"/>
      <c r="H14" s="3"/>
      <c r="I14" s="3"/>
      <c r="J14" s="3"/>
      <c r="K14" s="3"/>
      <c r="L14" s="3"/>
      <c r="M14" s="3"/>
      <c r="N14" s="3"/>
      <c r="O14" s="3"/>
      <c r="P14" s="3"/>
      <c r="Q14" s="295"/>
      <c r="S14" s="291"/>
      <c r="T14" s="292"/>
      <c r="U14" s="292"/>
      <c r="V14" s="292"/>
      <c r="W14" s="292"/>
      <c r="X14" s="292"/>
      <c r="Y14" s="293"/>
      <c r="AB14" s="3"/>
      <c r="AC14" s="1522"/>
      <c r="AD14" s="1107"/>
      <c r="AE14" s="1107"/>
      <c r="AF14" s="686"/>
      <c r="AG14" s="687"/>
      <c r="AH14" s="3"/>
      <c r="AI14" s="3"/>
      <c r="AJ14" s="3"/>
      <c r="AK14" s="61"/>
      <c r="AL14" s="61"/>
      <c r="AM14" s="61"/>
      <c r="AN14" s="61"/>
      <c r="AO14" s="61"/>
      <c r="AP14" s="61"/>
      <c r="AQ14" s="61"/>
      <c r="AR14" s="61"/>
    </row>
    <row r="15" spans="1:44" ht="16.5" thickTop="1" thickBot="1">
      <c r="A15" s="110"/>
      <c r="B15" s="1452" t="s">
        <v>480</v>
      </c>
      <c r="C15" s="1453"/>
      <c r="D15" s="1453"/>
      <c r="E15" s="1453"/>
      <c r="F15" s="1453"/>
      <c r="G15" s="1453"/>
      <c r="H15" s="1454"/>
      <c r="I15" s="3"/>
      <c r="J15" s="1452" t="s">
        <v>480</v>
      </c>
      <c r="K15" s="1453"/>
      <c r="L15" s="1453"/>
      <c r="M15" s="1453"/>
      <c r="N15" s="1453"/>
      <c r="O15" s="1453"/>
      <c r="P15" s="1454"/>
      <c r="Q15" s="295"/>
      <c r="AB15" s="3"/>
      <c r="AC15" s="1522"/>
      <c r="AD15" s="1107"/>
      <c r="AE15" s="1107"/>
      <c r="AF15" s="688"/>
      <c r="AG15" s="580"/>
      <c r="AH15" s="3"/>
      <c r="AI15" s="538"/>
      <c r="AJ15" s="3"/>
      <c r="AK15" s="61"/>
      <c r="AL15" s="61"/>
      <c r="AM15" s="61"/>
      <c r="AN15" s="61"/>
      <c r="AO15" s="61"/>
      <c r="AP15" s="61"/>
      <c r="AQ15" s="61"/>
      <c r="AR15" s="61"/>
    </row>
    <row r="16" spans="1:44" ht="16.5" thickBot="1">
      <c r="A16" s="110"/>
      <c r="B16" s="283" t="s">
        <v>47</v>
      </c>
      <c r="C16" s="284"/>
      <c r="D16" s="20"/>
      <c r="E16" s="20"/>
      <c r="F16" s="20"/>
      <c r="G16" s="20"/>
      <c r="H16" s="285"/>
      <c r="I16" s="3"/>
      <c r="J16" s="283" t="s">
        <v>50</v>
      </c>
      <c r="K16" s="284"/>
      <c r="L16" s="20"/>
      <c r="M16" s="20"/>
      <c r="N16" s="20"/>
      <c r="O16" s="20"/>
      <c r="P16" s="285"/>
      <c r="Q16" s="295"/>
      <c r="AB16" s="3"/>
      <c r="AC16" s="1522"/>
      <c r="AD16" s="1107"/>
      <c r="AE16" s="1107"/>
      <c r="AF16" s="695"/>
      <c r="AG16" s="695"/>
      <c r="AH16" s="3"/>
      <c r="AI16" s="3"/>
      <c r="AJ16" s="3"/>
      <c r="AK16" s="61"/>
      <c r="AL16" s="61"/>
      <c r="AM16" s="61"/>
      <c r="AN16" s="689"/>
      <c r="AO16" s="88"/>
      <c r="AP16" s="88"/>
      <c r="AQ16" s="88"/>
      <c r="AR16" s="61"/>
    </row>
    <row r="17" spans="1:44" ht="15.75" thickBot="1">
      <c r="A17" s="110"/>
      <c r="B17" s="288"/>
      <c r="C17" s="1442" t="s">
        <v>481</v>
      </c>
      <c r="D17" s="1443"/>
      <c r="E17" s="1442">
        <f>Sismik!C34</f>
        <v>0</v>
      </c>
      <c r="F17" s="1443"/>
      <c r="G17" s="20" t="s">
        <v>488</v>
      </c>
      <c r="H17" s="285"/>
      <c r="I17" s="3"/>
      <c r="J17" s="288"/>
      <c r="K17" s="1442" t="s">
        <v>481</v>
      </c>
      <c r="L17" s="1443"/>
      <c r="M17" s="1442">
        <f>Sismik!C112</f>
        <v>0</v>
      </c>
      <c r="N17" s="1443"/>
      <c r="O17" s="20" t="s">
        <v>488</v>
      </c>
      <c r="P17" s="285"/>
      <c r="Q17" s="295"/>
      <c r="AB17" s="3"/>
      <c r="AC17" s="3"/>
      <c r="AD17" s="3"/>
      <c r="AE17" s="3"/>
      <c r="AF17" s="3"/>
      <c r="AG17" s="3"/>
      <c r="AH17" s="3"/>
      <c r="AI17" s="3"/>
      <c r="AJ17" s="3"/>
      <c r="AK17" s="61"/>
      <c r="AL17" s="61"/>
      <c r="AM17" s="61"/>
      <c r="AN17" s="61"/>
      <c r="AO17" s="88"/>
      <c r="AP17" s="689"/>
      <c r="AQ17" s="88"/>
      <c r="AR17" s="61"/>
    </row>
    <row r="18" spans="1:44" ht="15.75" thickBot="1">
      <c r="A18" s="110"/>
      <c r="B18" s="288"/>
      <c r="C18" s="1442" t="s">
        <v>489</v>
      </c>
      <c r="D18" s="1443"/>
      <c r="E18" s="1444">
        <f>Sismik!C35</f>
        <v>0</v>
      </c>
      <c r="F18" s="1443"/>
      <c r="G18" s="20" t="s">
        <v>488</v>
      </c>
      <c r="H18" s="285"/>
      <c r="I18" s="3"/>
      <c r="J18" s="288"/>
      <c r="K18" s="1442" t="s">
        <v>489</v>
      </c>
      <c r="L18" s="1443"/>
      <c r="M18" s="1444">
        <f>Sismik!C113</f>
        <v>0</v>
      </c>
      <c r="N18" s="1443"/>
      <c r="O18" s="20" t="s">
        <v>488</v>
      </c>
      <c r="P18" s="285"/>
      <c r="Q18" s="295"/>
      <c r="AB18" s="3"/>
      <c r="AC18" s="3"/>
      <c r="AD18" s="3"/>
      <c r="AE18" s="692"/>
      <c r="AF18" s="696"/>
      <c r="AG18" s="3"/>
      <c r="AH18" s="3"/>
      <c r="AI18" s="3"/>
      <c r="AJ18" s="3"/>
      <c r="AK18" s="61"/>
      <c r="AL18" s="61"/>
      <c r="AM18" s="61"/>
      <c r="AN18" s="61"/>
      <c r="AO18" s="88"/>
      <c r="AP18" s="691"/>
      <c r="AQ18" s="88"/>
      <c r="AR18" s="61"/>
    </row>
    <row r="19" spans="1:44" ht="15.75" thickBot="1">
      <c r="A19" s="110"/>
      <c r="B19" s="288"/>
      <c r="C19" s="1442" t="s">
        <v>482</v>
      </c>
      <c r="D19" s="1443"/>
      <c r="E19" s="1442">
        <f>IF(F152=1,G3,IF(F152=2,I154,IF(F152=3,I155,IF(F152=4,I156,IF(F152=5,I157)))))</f>
        <v>0.254</v>
      </c>
      <c r="F19" s="1443"/>
      <c r="G19" s="20"/>
      <c r="H19" s="285"/>
      <c r="I19" s="3"/>
      <c r="J19" s="288"/>
      <c r="K19" s="1442" t="s">
        <v>482</v>
      </c>
      <c r="L19" s="1443"/>
      <c r="M19" s="1442">
        <f>IF(F152=1,G3,IF(F152=2,I154,IF(F152=3,I155,IF(F152=4,I156,IF(F152=5,I157)))))</f>
        <v>0.254</v>
      </c>
      <c r="N19" s="1443"/>
      <c r="O19" s="20"/>
      <c r="P19" s="285"/>
      <c r="Q19" s="295"/>
      <c r="AB19" s="3"/>
      <c r="AC19" s="3"/>
      <c r="AD19" s="3"/>
      <c r="AE19" s="3"/>
      <c r="AF19" s="1525"/>
      <c r="AG19" s="1525"/>
      <c r="AH19" s="1525"/>
      <c r="AI19" s="1525"/>
      <c r="AJ19" s="3"/>
      <c r="AK19" s="61"/>
      <c r="AL19" s="61"/>
      <c r="AM19" s="61"/>
      <c r="AN19" s="61"/>
      <c r="AO19" s="88"/>
      <c r="AP19" s="691"/>
      <c r="AQ19" s="88"/>
      <c r="AR19" s="61"/>
    </row>
    <row r="20" spans="1:44" ht="15.75" thickBot="1">
      <c r="A20" s="110"/>
      <c r="B20" s="288"/>
      <c r="C20" s="1442" t="s">
        <v>485</v>
      </c>
      <c r="D20" s="1443"/>
      <c r="E20" s="1444" t="e">
        <f>(0.0001*(0.8)*(E17^2))/(9.8*E18*(1-0.015*E18))</f>
        <v>#DIV/0!</v>
      </c>
      <c r="F20" s="1445"/>
      <c r="G20" s="20" t="s">
        <v>487</v>
      </c>
      <c r="H20" s="285"/>
      <c r="I20" s="3"/>
      <c r="J20" s="288"/>
      <c r="K20" s="1442" t="s">
        <v>485</v>
      </c>
      <c r="L20" s="1443"/>
      <c r="M20" s="1444" t="e">
        <f>(0.0001*(0.8)*(M17^2))/(9.8*M18*(1-0.015*M18))</f>
        <v>#DIV/0!</v>
      </c>
      <c r="N20" s="1445"/>
      <c r="O20" s="20" t="s">
        <v>487</v>
      </c>
      <c r="P20" s="285"/>
      <c r="Q20" s="295"/>
      <c r="AB20" s="3"/>
      <c r="AC20" s="3"/>
      <c r="AD20" s="3"/>
      <c r="AE20" s="3"/>
      <c r="AF20" s="3"/>
      <c r="AG20" s="3"/>
      <c r="AH20" s="3"/>
      <c r="AI20" s="3"/>
      <c r="AJ20" s="3"/>
      <c r="AK20" s="61"/>
      <c r="AL20" s="61"/>
      <c r="AM20" s="61"/>
      <c r="AN20" s="61"/>
      <c r="AO20" s="61"/>
      <c r="AP20" s="61"/>
      <c r="AQ20" s="61"/>
      <c r="AR20" s="61"/>
    </row>
    <row r="21" spans="1:44" ht="15.75" customHeight="1" thickBot="1">
      <c r="A21" s="110"/>
      <c r="B21" s="288"/>
      <c r="C21" s="1442" t="s">
        <v>486</v>
      </c>
      <c r="D21" s="1443"/>
      <c r="E21" s="1444" t="e">
        <f>E20*1.6</f>
        <v>#DIV/0!</v>
      </c>
      <c r="F21" s="1445"/>
      <c r="G21" s="20" t="s">
        <v>487</v>
      </c>
      <c r="H21" s="285"/>
      <c r="I21" s="3"/>
      <c r="J21" s="288"/>
      <c r="K21" s="1442" t="s">
        <v>486</v>
      </c>
      <c r="L21" s="1443"/>
      <c r="M21" s="1444" t="e">
        <f>M20*1.6</f>
        <v>#DIV/0!</v>
      </c>
      <c r="N21" s="1445"/>
      <c r="O21" s="20" t="s">
        <v>487</v>
      </c>
      <c r="P21" s="285"/>
      <c r="Q21" s="295"/>
      <c r="W21" s="7"/>
    </row>
    <row r="22" spans="1:44" ht="19.5" thickBot="1">
      <c r="A22" s="110"/>
      <c r="B22" s="288"/>
      <c r="C22" s="1442" t="s">
        <v>483</v>
      </c>
      <c r="D22" s="1443"/>
      <c r="E22" s="1444" t="e">
        <f>E21/E19</f>
        <v>#DIV/0!</v>
      </c>
      <c r="F22" s="1445"/>
      <c r="G22" s="1340" t="e">
        <f>IF(E22&gt;1,"Sıvılaşma Yok", "Sıvılaşabilir")</f>
        <v>#DIV/0!</v>
      </c>
      <c r="H22" s="1451"/>
      <c r="I22" s="3"/>
      <c r="J22" s="288"/>
      <c r="K22" s="1442" t="s">
        <v>483</v>
      </c>
      <c r="L22" s="1443"/>
      <c r="M22" s="1444" t="e">
        <f>M21/M19</f>
        <v>#DIV/0!</v>
      </c>
      <c r="N22" s="1445"/>
      <c r="O22" s="1340" t="e">
        <f>IF(M22&gt;1,"Sıvılaşma Yok", "Sıvılaşabilir")</f>
        <v>#DIV/0!</v>
      </c>
      <c r="P22" s="1451"/>
      <c r="Q22" s="295"/>
      <c r="AC22" s="337"/>
      <c r="AD22" s="1526" t="s">
        <v>788</v>
      </c>
      <c r="AE22" s="1526"/>
      <c r="AF22" s="1526"/>
      <c r="AG22" s="1526"/>
      <c r="AH22" s="1526"/>
      <c r="AI22" s="1526"/>
      <c r="AJ22" s="204"/>
    </row>
    <row r="23" spans="1:44" ht="19.5" customHeight="1" thickBot="1">
      <c r="A23" s="110"/>
      <c r="B23" s="289"/>
      <c r="C23" s="286"/>
      <c r="D23" s="286"/>
      <c r="E23" s="286"/>
      <c r="F23" s="286"/>
      <c r="G23" s="286"/>
      <c r="H23" s="287"/>
      <c r="I23" s="3"/>
      <c r="J23" s="289"/>
      <c r="K23" s="286"/>
      <c r="L23" s="286"/>
      <c r="M23" s="286"/>
      <c r="N23" s="286"/>
      <c r="O23" s="286"/>
      <c r="P23" s="287"/>
      <c r="Q23" s="295"/>
      <c r="AC23" s="50"/>
      <c r="AD23" s="1527" t="s">
        <v>789</v>
      </c>
      <c r="AE23" s="1527"/>
      <c r="AF23" s="1527"/>
      <c r="AG23" s="1527"/>
      <c r="AH23" s="1527"/>
      <c r="AI23" s="1527"/>
      <c r="AJ23" s="205"/>
      <c r="AK23" s="1431" t="s">
        <v>794</v>
      </c>
      <c r="AL23" s="1432"/>
    </row>
    <row r="24" spans="1:44" ht="17.25" customHeight="1" thickTop="1" thickBot="1">
      <c r="A24" s="110"/>
      <c r="B24" s="3"/>
      <c r="C24" s="3"/>
      <c r="D24" s="3"/>
      <c r="E24" s="3"/>
      <c r="F24" s="3"/>
      <c r="G24" s="3"/>
      <c r="H24" s="3"/>
      <c r="I24" s="3"/>
      <c r="J24" s="3"/>
      <c r="K24" s="3"/>
      <c r="L24" s="3"/>
      <c r="M24" s="3"/>
      <c r="N24" s="3"/>
      <c r="O24" s="3"/>
      <c r="P24" s="3"/>
      <c r="Q24" s="295"/>
      <c r="S24" s="1433" t="s">
        <v>794</v>
      </c>
      <c r="T24" s="1433"/>
      <c r="U24" s="61"/>
      <c r="V24" s="1471" t="s">
        <v>504</v>
      </c>
      <c r="W24" s="1472"/>
      <c r="X24" s="1472"/>
      <c r="Y24" s="1473"/>
      <c r="AB24" s="519"/>
      <c r="AC24" s="592"/>
      <c r="AD24" s="23"/>
      <c r="AE24" s="23"/>
      <c r="AF24" s="23"/>
      <c r="AG24" s="23"/>
      <c r="AH24" s="23"/>
      <c r="AI24" s="23"/>
      <c r="AJ24" s="205"/>
      <c r="AK24" s="1431"/>
      <c r="AL24" s="1432"/>
    </row>
    <row r="25" spans="1:44" ht="16.5" thickTop="1" thickBot="1">
      <c r="A25" s="110"/>
      <c r="B25" s="1452" t="s">
        <v>480</v>
      </c>
      <c r="C25" s="1453"/>
      <c r="D25" s="1453"/>
      <c r="E25" s="1453"/>
      <c r="F25" s="1453"/>
      <c r="G25" s="1453"/>
      <c r="H25" s="1454"/>
      <c r="I25" s="3"/>
      <c r="J25" s="1452" t="s">
        <v>480</v>
      </c>
      <c r="K25" s="1453"/>
      <c r="L25" s="1453"/>
      <c r="M25" s="1453"/>
      <c r="N25" s="1453"/>
      <c r="O25" s="1453"/>
      <c r="P25" s="1454"/>
      <c r="Q25" s="295"/>
      <c r="S25" s="1433"/>
      <c r="T25" s="1433"/>
      <c r="U25" s="595"/>
      <c r="V25" s="1474"/>
      <c r="W25" s="1475"/>
      <c r="X25" s="1475"/>
      <c r="Y25" s="1476"/>
      <c r="AC25" s="593"/>
      <c r="AD25" s="3"/>
      <c r="AE25" s="3"/>
      <c r="AF25" s="3"/>
      <c r="AG25" s="3"/>
      <c r="AH25" s="3"/>
      <c r="AI25" s="3"/>
      <c r="AJ25" s="205"/>
    </row>
    <row r="26" spans="1:44" ht="16.5" thickBot="1">
      <c r="A26" s="110"/>
      <c r="B26" s="283" t="s">
        <v>48</v>
      </c>
      <c r="C26" s="284"/>
      <c r="D26" s="20"/>
      <c r="E26" s="20"/>
      <c r="F26" s="20"/>
      <c r="G26" s="20"/>
      <c r="H26" s="285"/>
      <c r="I26" s="3"/>
      <c r="J26" s="283" t="s">
        <v>51</v>
      </c>
      <c r="K26" s="284"/>
      <c r="L26" s="20"/>
      <c r="M26" s="20"/>
      <c r="N26" s="20"/>
      <c r="O26" s="20"/>
      <c r="P26" s="285"/>
      <c r="Q26" s="295"/>
      <c r="T26" s="608"/>
      <c r="U26" s="609"/>
      <c r="V26" s="610" t="s">
        <v>793</v>
      </c>
      <c r="W26" s="611"/>
      <c r="X26" s="605"/>
      <c r="Y26" s="617" t="s">
        <v>502</v>
      </c>
      <c r="AC26" s="50"/>
      <c r="AD26" s="3"/>
      <c r="AE26" s="594"/>
      <c r="AF26" s="596" t="s">
        <v>506</v>
      </c>
      <c r="AG26" s="613"/>
      <c r="AH26" s="614" t="s">
        <v>488</v>
      </c>
      <c r="AI26" s="61" t="e">
        <f>IF(AG29&lt;0.0001,"Sıvılaşma Yok","Sıvılaşma Var")</f>
        <v>#DIV/0!</v>
      </c>
      <c r="AJ26" s="595"/>
    </row>
    <row r="27" spans="1:44" ht="15.75" thickBot="1">
      <c r="A27" s="110"/>
      <c r="B27" s="288"/>
      <c r="C27" s="1442" t="s">
        <v>481</v>
      </c>
      <c r="D27" s="1443"/>
      <c r="E27" s="1442">
        <f>Sismik!C60</f>
        <v>0</v>
      </c>
      <c r="F27" s="1443"/>
      <c r="G27" s="20" t="s">
        <v>488</v>
      </c>
      <c r="H27" s="285"/>
      <c r="I27" s="3"/>
      <c r="J27" s="288"/>
      <c r="K27" s="1442" t="s">
        <v>481</v>
      </c>
      <c r="L27" s="1443"/>
      <c r="M27" s="1442">
        <f>Sismik!C138</f>
        <v>0</v>
      </c>
      <c r="N27" s="1443"/>
      <c r="O27" s="20" t="s">
        <v>488</v>
      </c>
      <c r="P27" s="285"/>
      <c r="Q27" s="295"/>
      <c r="T27" s="606"/>
      <c r="U27" s="607"/>
      <c r="V27" s="620" t="s">
        <v>498</v>
      </c>
      <c r="W27" s="621"/>
      <c r="X27" s="615" t="e">
        <f>4.68+(9.2/1000)*X26+0.9*LOG(X26)</f>
        <v>#NUM!</v>
      </c>
      <c r="Y27" s="618" t="s">
        <v>497</v>
      </c>
      <c r="AC27" s="50"/>
      <c r="AD27" s="3"/>
      <c r="AE27" s="594"/>
      <c r="AF27" s="596" t="s">
        <v>790</v>
      </c>
      <c r="AG27" s="613"/>
      <c r="AH27" s="614" t="s">
        <v>487</v>
      </c>
      <c r="AI27" s="61" t="str">
        <f>IF(AG28&gt;22,"Sıvılaşma Yok","Analiz Gerekir")</f>
        <v>Analiz Gerekir</v>
      </c>
      <c r="AJ27" s="595"/>
    </row>
    <row r="28" spans="1:44" ht="15.75" thickBot="1">
      <c r="A28" s="110"/>
      <c r="B28" s="288"/>
      <c r="C28" s="1442" t="s">
        <v>489</v>
      </c>
      <c r="D28" s="1443"/>
      <c r="E28" s="1444">
        <f>Sismik!C61</f>
        <v>0</v>
      </c>
      <c r="F28" s="1443"/>
      <c r="G28" s="20" t="s">
        <v>488</v>
      </c>
      <c r="H28" s="285"/>
      <c r="I28" s="3"/>
      <c r="J28" s="288"/>
      <c r="K28" s="1442" t="s">
        <v>489</v>
      </c>
      <c r="L28" s="1443"/>
      <c r="M28" s="1444">
        <f>Sismik!C139</f>
        <v>0</v>
      </c>
      <c r="N28" s="1443"/>
      <c r="O28" s="20" t="s">
        <v>488</v>
      </c>
      <c r="P28" s="285"/>
      <c r="Q28" s="295"/>
      <c r="AC28" s="50"/>
      <c r="AD28" s="3"/>
      <c r="AE28" s="238"/>
      <c r="AF28" s="596" t="s">
        <v>761</v>
      </c>
      <c r="AG28" s="613"/>
      <c r="AH28" s="614" t="s">
        <v>762</v>
      </c>
      <c r="AI28" s="3"/>
      <c r="AJ28" s="205"/>
    </row>
    <row r="29" spans="1:44" ht="15.75" thickBot="1">
      <c r="A29" s="110"/>
      <c r="B29" s="288"/>
      <c r="C29" s="1442" t="s">
        <v>482</v>
      </c>
      <c r="D29" s="1443"/>
      <c r="E29" s="1442">
        <f>IF(F152=1,G3,IF(F152=2,I154,IF(F152=3,I155,IF(F152=4,I156,IF(F152=5,I157)))))</f>
        <v>0.254</v>
      </c>
      <c r="F29" s="1443"/>
      <c r="G29" s="20"/>
      <c r="H29" s="285"/>
      <c r="I29" s="3"/>
      <c r="J29" s="288"/>
      <c r="K29" s="1442" t="s">
        <v>482</v>
      </c>
      <c r="L29" s="1443"/>
      <c r="M29" s="1442">
        <f>IF(F152=1,G3,IF(F152=2,I154,IF(F152=3,I155,IF(F152=4,I156,IF(F152=5,I157)))))</f>
        <v>0.254</v>
      </c>
      <c r="N29" s="1443"/>
      <c r="O29" s="20"/>
      <c r="P29" s="285"/>
      <c r="Q29" s="295"/>
      <c r="AC29" s="50"/>
      <c r="AD29" s="237"/>
      <c r="AE29" s="1434" t="s">
        <v>791</v>
      </c>
      <c r="AF29" s="1435"/>
      <c r="AG29" s="1528" t="e">
        <f>(1.2*AG27*AG28)/AG26^2</f>
        <v>#DIV/0!</v>
      </c>
      <c r="AH29" s="1529"/>
      <c r="AI29" s="3"/>
      <c r="AJ29" s="205"/>
    </row>
    <row r="30" spans="1:44" ht="15.75" thickBot="1">
      <c r="A30" s="110"/>
      <c r="B30" s="288"/>
      <c r="C30" s="1442" t="s">
        <v>485</v>
      </c>
      <c r="D30" s="1443"/>
      <c r="E30" s="1444" t="e">
        <f>(0.0001*(0.8)*(E27^2))/(9.8*E28*(1-0.015*E28))</f>
        <v>#DIV/0!</v>
      </c>
      <c r="F30" s="1445"/>
      <c r="G30" s="20" t="s">
        <v>487</v>
      </c>
      <c r="H30" s="285"/>
      <c r="I30" s="3"/>
      <c r="J30" s="288"/>
      <c r="K30" s="1442" t="s">
        <v>485</v>
      </c>
      <c r="L30" s="1443"/>
      <c r="M30" s="1444" t="e">
        <f>(0.0001*(0.8)*(M27^2))/(9.8*M28*(1-0.015*M28))</f>
        <v>#DIV/0!</v>
      </c>
      <c r="N30" s="1445"/>
      <c r="O30" s="20" t="s">
        <v>487</v>
      </c>
      <c r="P30" s="285"/>
      <c r="Q30" s="295"/>
      <c r="T30" s="1461" t="s">
        <v>500</v>
      </c>
      <c r="U30" s="1462"/>
      <c r="V30" s="1462"/>
      <c r="W30" s="1462"/>
      <c r="X30" s="1462"/>
      <c r="Y30" s="1463"/>
      <c r="AC30" s="50"/>
      <c r="AD30" s="237"/>
      <c r="AE30" s="1434" t="s">
        <v>792</v>
      </c>
      <c r="AF30" s="1435"/>
      <c r="AG30" s="1436" t="e">
        <f>IF(AG28&gt;22,AI27,AI26)</f>
        <v>#DIV/0!</v>
      </c>
      <c r="AH30" s="1437"/>
      <c r="AI30" s="3"/>
      <c r="AJ30" s="205"/>
    </row>
    <row r="31" spans="1:44" ht="15.75" thickBot="1">
      <c r="A31" s="110"/>
      <c r="B31" s="288"/>
      <c r="C31" s="1442" t="s">
        <v>486</v>
      </c>
      <c r="D31" s="1443"/>
      <c r="E31" s="1444" t="e">
        <f>E30*1.6</f>
        <v>#DIV/0!</v>
      </c>
      <c r="F31" s="1445"/>
      <c r="G31" s="20" t="s">
        <v>487</v>
      </c>
      <c r="H31" s="285"/>
      <c r="I31" s="3"/>
      <c r="J31" s="288"/>
      <c r="K31" s="1442" t="s">
        <v>486</v>
      </c>
      <c r="L31" s="1443"/>
      <c r="M31" s="1444" t="e">
        <f>M30*1.6</f>
        <v>#DIV/0!</v>
      </c>
      <c r="N31" s="1445"/>
      <c r="O31" s="20" t="s">
        <v>487</v>
      </c>
      <c r="P31" s="285"/>
      <c r="Q31" s="295"/>
      <c r="T31" s="471"/>
      <c r="U31" s="622" t="s">
        <v>499</v>
      </c>
      <c r="V31" s="1409" t="s">
        <v>503</v>
      </c>
      <c r="W31" s="1464"/>
      <c r="X31" s="616">
        <f>36*T31-160</f>
        <v>-160</v>
      </c>
      <c r="Y31" s="619" t="s">
        <v>501</v>
      </c>
      <c r="AC31" s="207"/>
      <c r="AD31" s="208"/>
      <c r="AE31" s="208"/>
      <c r="AF31" s="208"/>
      <c r="AG31" s="208"/>
      <c r="AH31" s="208"/>
      <c r="AI31" s="208"/>
      <c r="AJ31" s="206"/>
    </row>
    <row r="32" spans="1:44" ht="15.75" thickBot="1">
      <c r="A32" s="110"/>
      <c r="B32" s="288"/>
      <c r="C32" s="1442" t="s">
        <v>483</v>
      </c>
      <c r="D32" s="1443"/>
      <c r="E32" s="1444" t="e">
        <f>E31/E29</f>
        <v>#DIV/0!</v>
      </c>
      <c r="F32" s="1445"/>
      <c r="G32" s="1340" t="e">
        <f>IF(E32&gt;1,"Sıvılaşma Yok", "Sıvılaşabilir")</f>
        <v>#DIV/0!</v>
      </c>
      <c r="H32" s="1451"/>
      <c r="I32" s="3"/>
      <c r="J32" s="288"/>
      <c r="K32" s="1442" t="s">
        <v>483</v>
      </c>
      <c r="L32" s="1443"/>
      <c r="M32" s="1444" t="e">
        <f>M31/M29</f>
        <v>#DIV/0!</v>
      </c>
      <c r="N32" s="1445"/>
      <c r="O32" s="1340" t="e">
        <f>IF(M32&gt;1,"Sıvılaşma Yok", "Sıvılaşabilir")</f>
        <v>#DIV/0!</v>
      </c>
      <c r="P32" s="1451"/>
      <c r="Q32" s="295"/>
      <c r="AC32" s="519"/>
      <c r="AD32" s="151"/>
      <c r="AE32" s="3"/>
      <c r="AF32" s="3"/>
      <c r="AG32" s="3"/>
      <c r="AH32" s="3"/>
    </row>
    <row r="33" spans="1:44" ht="15.75" thickBot="1">
      <c r="A33" s="110"/>
      <c r="B33" s="289"/>
      <c r="C33" s="286"/>
      <c r="D33" s="286"/>
      <c r="E33" s="286"/>
      <c r="F33" s="286"/>
      <c r="G33" s="286"/>
      <c r="H33" s="287"/>
      <c r="I33" s="3"/>
      <c r="J33" s="289"/>
      <c r="K33" s="286"/>
      <c r="L33" s="286"/>
      <c r="M33" s="286"/>
      <c r="N33" s="286"/>
      <c r="O33" s="286"/>
      <c r="P33" s="287"/>
      <c r="Q33" s="295"/>
      <c r="AC33" s="3"/>
      <c r="AD33" s="3"/>
      <c r="AE33" s="3"/>
      <c r="AF33" s="576"/>
      <c r="AG33" s="3"/>
      <c r="AH33" s="3"/>
    </row>
    <row r="34" spans="1:44" ht="16.5" thickTop="1" thickBot="1">
      <c r="A34" s="296"/>
      <c r="B34" s="297"/>
      <c r="C34" s="297"/>
      <c r="D34" s="297"/>
      <c r="E34" s="297"/>
      <c r="F34" s="297"/>
      <c r="G34" s="297"/>
      <c r="H34" s="297"/>
      <c r="I34" s="297"/>
      <c r="J34" s="297"/>
      <c r="K34" s="297"/>
      <c r="L34" s="297"/>
      <c r="M34" s="297"/>
      <c r="N34" s="297"/>
      <c r="O34" s="297"/>
      <c r="P34" s="297"/>
      <c r="Q34" s="298"/>
    </row>
    <row r="35" spans="1:44">
      <c r="S35" s="483"/>
      <c r="T35" s="484"/>
      <c r="U35" s="484"/>
      <c r="V35" s="484"/>
      <c r="W35" s="484"/>
      <c r="X35" s="484"/>
      <c r="Y35" s="484"/>
      <c r="Z35" s="485"/>
    </row>
    <row r="36" spans="1:44" ht="15.75" thickBot="1">
      <c r="S36" s="486"/>
      <c r="T36" s="1491" t="s">
        <v>678</v>
      </c>
      <c r="U36" s="1492"/>
      <c r="V36" s="1492"/>
      <c r="W36" s="1492"/>
      <c r="X36" s="1492"/>
      <c r="Y36" s="1493"/>
      <c r="Z36" s="487"/>
      <c r="AB36" s="526"/>
      <c r="AC36" s="526"/>
      <c r="AD36" s="526"/>
      <c r="AE36" s="526"/>
      <c r="AF36" s="526"/>
      <c r="AG36" s="526"/>
      <c r="AH36" s="526"/>
      <c r="AI36" s="526"/>
      <c r="AJ36" s="526"/>
      <c r="AK36" s="526"/>
      <c r="AL36" s="526"/>
      <c r="AM36" s="526"/>
      <c r="AN36" s="526"/>
      <c r="AO36" s="526"/>
      <c r="AP36" s="526"/>
      <c r="AQ36" s="526"/>
      <c r="AR36" s="526"/>
    </row>
    <row r="37" spans="1:44" ht="15.75" thickBot="1">
      <c r="A37" s="299"/>
      <c r="B37" s="300"/>
      <c r="C37" s="1459" t="s">
        <v>526</v>
      </c>
      <c r="D37" s="1459"/>
      <c r="E37" s="300"/>
      <c r="F37" s="1482" t="s">
        <v>527</v>
      </c>
      <c r="G37" s="1483"/>
      <c r="H37" s="1483"/>
      <c r="I37" s="300"/>
      <c r="J37" s="1456" t="s">
        <v>568</v>
      </c>
      <c r="K37" s="1457"/>
      <c r="L37" s="1457"/>
      <c r="M37" s="1457"/>
      <c r="N37" s="1457"/>
      <c r="O37" s="1457"/>
      <c r="P37" s="1458"/>
      <c r="Q37" s="294"/>
      <c r="S37" s="486"/>
      <c r="T37" s="488"/>
      <c r="U37" s="488"/>
      <c r="V37" s="488"/>
      <c r="W37" s="488"/>
      <c r="X37" s="488"/>
      <c r="Y37" s="488"/>
      <c r="Z37" s="487"/>
      <c r="AB37" s="527"/>
      <c r="AC37" s="337"/>
      <c r="AD37" s="338"/>
      <c r="AE37" s="338"/>
      <c r="AF37" s="338"/>
      <c r="AG37" s="338"/>
      <c r="AH37" s="338"/>
      <c r="AI37" s="338"/>
      <c r="AJ37" s="338"/>
      <c r="AK37" s="338"/>
      <c r="AL37" s="338"/>
      <c r="AM37" s="338"/>
      <c r="AN37" s="338"/>
      <c r="AO37" s="338"/>
      <c r="AP37" s="338"/>
      <c r="AQ37" s="204"/>
      <c r="AR37" s="528"/>
    </row>
    <row r="38" spans="1:44" ht="15.75" customHeight="1" thickBot="1">
      <c r="A38" s="301"/>
      <c r="B38" s="1"/>
      <c r="C38" s="1"/>
      <c r="D38" s="1"/>
      <c r="E38" s="1"/>
      <c r="F38" s="302" t="s">
        <v>496</v>
      </c>
      <c r="G38" s="896"/>
      <c r="H38" s="898"/>
      <c r="I38" s="1"/>
      <c r="J38" s="1"/>
      <c r="K38" s="1"/>
      <c r="L38" s="1"/>
      <c r="M38" s="1"/>
      <c r="N38" s="1"/>
      <c r="O38" s="1"/>
      <c r="P38" s="1"/>
      <c r="Q38" s="295"/>
      <c r="S38" s="486"/>
      <c r="T38" s="489" t="s">
        <v>666</v>
      </c>
      <c r="U38" s="488"/>
      <c r="V38" s="488"/>
      <c r="W38" s="1494" t="s">
        <v>669</v>
      </c>
      <c r="X38" s="1495"/>
      <c r="Y38" s="1496"/>
      <c r="Z38" s="487"/>
      <c r="AB38" s="527"/>
      <c r="AC38" s="50"/>
      <c r="AD38" s="1106" t="s">
        <v>696</v>
      </c>
      <c r="AE38" s="1107"/>
      <c r="AF38" s="1107"/>
      <c r="AG38" s="1107"/>
      <c r="AH38" s="1107"/>
      <c r="AI38" s="1107"/>
      <c r="AJ38" s="1107"/>
      <c r="AK38" s="1107"/>
      <c r="AL38" s="1107"/>
      <c r="AM38" s="1107"/>
      <c r="AN38" s="3"/>
      <c r="AO38" s="530" t="s">
        <v>697</v>
      </c>
      <c r="AP38" s="529"/>
      <c r="AQ38" s="205"/>
      <c r="AR38" s="528"/>
    </row>
    <row r="39" spans="1:44" ht="16.5" thickBot="1">
      <c r="A39" s="301"/>
      <c r="B39" s="1"/>
      <c r="C39" s="1"/>
      <c r="D39" s="1"/>
      <c r="E39" s="1"/>
      <c r="F39" s="1"/>
      <c r="G39" s="1"/>
      <c r="H39" s="1"/>
      <c r="I39" s="1"/>
      <c r="J39" s="1"/>
      <c r="K39" s="1"/>
      <c r="L39" s="1"/>
      <c r="M39" s="1"/>
      <c r="N39" s="1"/>
      <c r="O39" s="1"/>
      <c r="P39" s="1"/>
      <c r="Q39" s="295"/>
      <c r="S39" s="486"/>
      <c r="T39" s="489" t="s">
        <v>667</v>
      </c>
      <c r="U39" s="488"/>
      <c r="V39" s="488"/>
      <c r="W39" s="1497"/>
      <c r="X39" s="1498"/>
      <c r="Y39" s="1499"/>
      <c r="Z39" s="487"/>
      <c r="AB39" s="527"/>
      <c r="AC39" s="50"/>
      <c r="AD39" s="3"/>
      <c r="AE39" s="3"/>
      <c r="AF39" s="3"/>
      <c r="AG39" s="3"/>
      <c r="AH39" s="3"/>
      <c r="AI39" s="3"/>
      <c r="AJ39" s="3"/>
      <c r="AK39" s="3"/>
      <c r="AL39" s="3"/>
      <c r="AM39" s="3"/>
      <c r="AN39" s="3"/>
      <c r="AO39" s="531" t="s">
        <v>698</v>
      </c>
      <c r="AP39" s="529"/>
      <c r="AQ39" s="205"/>
      <c r="AR39" s="528"/>
    </row>
    <row r="40" spans="1:44" ht="17.25" thickTop="1" thickBot="1">
      <c r="A40" s="110"/>
      <c r="B40" s="1452" t="s">
        <v>480</v>
      </c>
      <c r="C40" s="1453"/>
      <c r="D40" s="1453"/>
      <c r="E40" s="1453"/>
      <c r="F40" s="1453"/>
      <c r="G40" s="1453"/>
      <c r="H40" s="1454"/>
      <c r="I40" s="3"/>
      <c r="J40" s="1452" t="s">
        <v>480</v>
      </c>
      <c r="K40" s="1453"/>
      <c r="L40" s="1453"/>
      <c r="M40" s="1453"/>
      <c r="N40" s="1453"/>
      <c r="O40" s="1453"/>
      <c r="P40" s="1454"/>
      <c r="Q40" s="295"/>
      <c r="S40" s="486"/>
      <c r="T40" s="489" t="s">
        <v>668</v>
      </c>
      <c r="U40" s="488"/>
      <c r="V40" s="488"/>
      <c r="W40" s="490"/>
      <c r="X40" s="490"/>
      <c r="Y40" s="490"/>
      <c r="Z40" s="487"/>
      <c r="AB40" s="527"/>
      <c r="AC40" s="50"/>
      <c r="AD40" s="518" t="s">
        <v>699</v>
      </c>
      <c r="AE40" s="3"/>
      <c r="AF40" s="3"/>
      <c r="AG40" s="3"/>
      <c r="AH40" s="3"/>
      <c r="AI40" s="3"/>
      <c r="AJ40" s="3"/>
      <c r="AK40" s="3"/>
      <c r="AL40" s="3"/>
      <c r="AM40" s="3"/>
      <c r="AN40" s="3"/>
      <c r="AO40" s="531" t="s">
        <v>700</v>
      </c>
      <c r="AP40" s="533"/>
      <c r="AQ40" s="205"/>
      <c r="AR40" s="528"/>
    </row>
    <row r="41" spans="1:44" ht="16.5" thickBot="1">
      <c r="A41" s="110"/>
      <c r="B41" s="283" t="s">
        <v>46</v>
      </c>
      <c r="C41" s="284"/>
      <c r="D41" s="20"/>
      <c r="E41" s="20"/>
      <c r="F41" s="20"/>
      <c r="G41" s="20"/>
      <c r="H41" s="285"/>
      <c r="I41" s="3"/>
      <c r="J41" s="283" t="s">
        <v>49</v>
      </c>
      <c r="K41" s="284"/>
      <c r="L41" s="20"/>
      <c r="M41" s="20"/>
      <c r="N41" s="20"/>
      <c r="O41" s="20"/>
      <c r="P41" s="285"/>
      <c r="Q41" s="295"/>
      <c r="S41" s="486"/>
      <c r="T41" s="491" t="s">
        <v>670</v>
      </c>
      <c r="U41" s="495" t="e">
        <f>'Zemin Büyütmesi ve ZHTP'!AG11</f>
        <v>#DIV/0!</v>
      </c>
      <c r="V41" s="1503" t="e">
        <f>(U41)^2/U42</f>
        <v>#DIV/0!</v>
      </c>
      <c r="W41" s="1505"/>
      <c r="X41" s="1506"/>
      <c r="Y41" s="1506"/>
      <c r="Z41" s="487"/>
      <c r="AB41" s="527"/>
      <c r="AC41" s="50"/>
      <c r="AD41" s="518" t="s">
        <v>701</v>
      </c>
      <c r="AE41" s="3"/>
      <c r="AF41" s="3"/>
      <c r="AG41" s="3"/>
      <c r="AH41" s="3"/>
      <c r="AI41" s="3"/>
      <c r="AJ41" s="3"/>
      <c r="AK41" s="3"/>
      <c r="AL41" s="3"/>
      <c r="AM41" s="3"/>
      <c r="AN41" s="3"/>
      <c r="AO41" s="521" t="s">
        <v>715</v>
      </c>
      <c r="AP41" s="533"/>
      <c r="AQ41" s="205"/>
      <c r="AR41" s="528"/>
    </row>
    <row r="42" spans="1:44" ht="16.5" thickBot="1">
      <c r="A42" s="110"/>
      <c r="B42" s="288"/>
      <c r="C42" s="1442" t="s">
        <v>566</v>
      </c>
      <c r="D42" s="1443"/>
      <c r="E42" s="1455">
        <f>Sismik!C26</f>
        <v>0</v>
      </c>
      <c r="F42" s="1443"/>
      <c r="G42" s="20" t="s">
        <v>488</v>
      </c>
      <c r="H42" s="285"/>
      <c r="I42" s="3"/>
      <c r="J42" s="288"/>
      <c r="K42" s="1442" t="s">
        <v>566</v>
      </c>
      <c r="L42" s="1443"/>
      <c r="M42" s="1442">
        <f>Sismik!C105</f>
        <v>0</v>
      </c>
      <c r="N42" s="1443"/>
      <c r="O42" s="20" t="s">
        <v>488</v>
      </c>
      <c r="P42" s="285"/>
      <c r="Q42" s="295"/>
      <c r="S42" s="486"/>
      <c r="T42" s="491" t="s">
        <v>236</v>
      </c>
      <c r="U42" s="495" t="e">
        <f>'Zemin Büyütmesi ve ZHTP'!Y11</f>
        <v>#DIV/0!</v>
      </c>
      <c r="V42" s="1504"/>
      <c r="W42" s="1500" t="e">
        <f>IF(V41&gt;=20,"Zeminde Hasar  oluşurr","Zeminde Hasar oluşmaz")</f>
        <v>#DIV/0!</v>
      </c>
      <c r="X42" s="1501"/>
      <c r="Y42" s="1502"/>
      <c r="Z42" s="487"/>
      <c r="AB42" s="527"/>
      <c r="AC42" s="50"/>
      <c r="AD42" s="518" t="s">
        <v>702</v>
      </c>
      <c r="AE42" s="3"/>
      <c r="AF42" s="3"/>
      <c r="AG42" s="3"/>
      <c r="AH42" s="3"/>
      <c r="AI42" s="3"/>
      <c r="AJ42" s="3"/>
      <c r="AK42" s="3"/>
      <c r="AL42" s="3"/>
      <c r="AM42" s="3"/>
      <c r="AN42" s="3"/>
      <c r="AO42" s="3"/>
      <c r="AP42" s="3"/>
      <c r="AQ42" s="205"/>
      <c r="AR42" s="528"/>
    </row>
    <row r="43" spans="1:44" ht="16.5" thickBot="1">
      <c r="A43" s="110"/>
      <c r="B43" s="288"/>
      <c r="C43" s="1442" t="s">
        <v>489</v>
      </c>
      <c r="D43" s="1443"/>
      <c r="E43" s="1444">
        <v>30</v>
      </c>
      <c r="F43" s="1443"/>
      <c r="G43" s="20" t="s">
        <v>488</v>
      </c>
      <c r="H43" s="285"/>
      <c r="I43" s="3"/>
      <c r="J43" s="288"/>
      <c r="K43" s="1442" t="s">
        <v>489</v>
      </c>
      <c r="L43" s="1443"/>
      <c r="M43" s="1444">
        <v>30</v>
      </c>
      <c r="N43" s="1443"/>
      <c r="O43" s="20" t="s">
        <v>488</v>
      </c>
      <c r="P43" s="285"/>
      <c r="Q43" s="295"/>
      <c r="S43" s="486"/>
      <c r="T43" s="488"/>
      <c r="U43" s="488"/>
      <c r="V43" s="488"/>
      <c r="W43" s="488"/>
      <c r="X43" s="488"/>
      <c r="Y43" s="488"/>
      <c r="Z43" s="487"/>
      <c r="AB43" s="527"/>
      <c r="AC43" s="50"/>
      <c r="AD43" s="518"/>
      <c r="AE43" s="3"/>
      <c r="AF43" s="3"/>
      <c r="AG43" s="3"/>
      <c r="AH43" s="3"/>
      <c r="AI43" s="3"/>
      <c r="AJ43" s="3"/>
      <c r="AK43" s="3"/>
      <c r="AL43" s="3"/>
      <c r="AM43" s="3"/>
      <c r="AN43" s="3"/>
      <c r="AO43" s="3"/>
      <c r="AP43" s="3"/>
      <c r="AQ43" s="205"/>
      <c r="AR43" s="528"/>
    </row>
    <row r="44" spans="1:44" ht="16.5" thickBot="1">
      <c r="A44" s="110"/>
      <c r="B44" s="288"/>
      <c r="C44" s="1442" t="s">
        <v>482</v>
      </c>
      <c r="D44" s="1443"/>
      <c r="E44" s="1442">
        <f>IF(F152=1,G38,IF(F152=2,I189,IF(F152=3,I190,IF(F152=4,I191,IF(F152=5,I192)))))</f>
        <v>0</v>
      </c>
      <c r="F44" s="1443"/>
      <c r="G44" s="20"/>
      <c r="H44" s="285"/>
      <c r="I44" s="3"/>
      <c r="J44" s="288"/>
      <c r="K44" s="1442" t="s">
        <v>482</v>
      </c>
      <c r="L44" s="1443"/>
      <c r="M44" s="1442">
        <f>IF(F152=1,G38,IF(F152=2,I189,IF(F152=3,I190,IF(F152=4,I191,IF(F152=5,I192)))))</f>
        <v>0</v>
      </c>
      <c r="N44" s="1443"/>
      <c r="O44" s="20"/>
      <c r="P44" s="285"/>
      <c r="Q44" s="295"/>
      <c r="S44" s="492"/>
      <c r="T44" s="493"/>
      <c r="U44" s="493"/>
      <c r="V44" s="493"/>
      <c r="W44" s="493"/>
      <c r="X44" s="493"/>
      <c r="Y44" s="493"/>
      <c r="Z44" s="494"/>
      <c r="AB44" s="527"/>
      <c r="AC44" s="50"/>
      <c r="AD44" s="518" t="s">
        <v>703</v>
      </c>
      <c r="AE44" s="3"/>
      <c r="AF44" s="3"/>
      <c r="AG44" s="3"/>
      <c r="AH44" s="3"/>
      <c r="AI44" s="3"/>
      <c r="AJ44" s="3"/>
      <c r="AK44" s="3"/>
      <c r="AL44" s="3"/>
      <c r="AM44" s="3"/>
      <c r="AN44" s="3"/>
      <c r="AO44" s="3"/>
      <c r="AP44" s="3"/>
      <c r="AQ44" s="205"/>
      <c r="AR44" s="528"/>
    </row>
    <row r="45" spans="1:44" ht="16.5" thickBot="1">
      <c r="A45" s="110"/>
      <c r="B45" s="288"/>
      <c r="C45" s="1442" t="s">
        <v>485</v>
      </c>
      <c r="D45" s="1443"/>
      <c r="E45" s="1444">
        <f>(0.0001*(0.8)*(E42^2))/(9.8*E43*(1-0.015*E43))</f>
        <v>0</v>
      </c>
      <c r="F45" s="1445"/>
      <c r="G45" s="20" t="s">
        <v>487</v>
      </c>
      <c r="H45" s="285"/>
      <c r="I45" s="3"/>
      <c r="J45" s="288"/>
      <c r="K45" s="1442" t="s">
        <v>485</v>
      </c>
      <c r="L45" s="1443"/>
      <c r="M45" s="1444">
        <f>(0.0001*(0.8)*(M42^2))/(9.8*M43*(1-0.015*M43))</f>
        <v>0</v>
      </c>
      <c r="N45" s="1445"/>
      <c r="O45" s="20" t="s">
        <v>487</v>
      </c>
      <c r="P45" s="285"/>
      <c r="Q45" s="295"/>
      <c r="AB45" s="527"/>
      <c r="AC45" s="50"/>
      <c r="AD45" s="518" t="s">
        <v>704</v>
      </c>
      <c r="AE45" s="3"/>
      <c r="AF45" s="3"/>
      <c r="AG45" s="3"/>
      <c r="AH45" s="3"/>
      <c r="AI45" s="3"/>
      <c r="AJ45" s="3"/>
      <c r="AK45" s="3"/>
      <c r="AL45" s="3"/>
      <c r="AM45" s="3"/>
      <c r="AN45" s="3"/>
      <c r="AO45" s="3"/>
      <c r="AP45" s="3"/>
      <c r="AQ45" s="205"/>
      <c r="AR45" s="528"/>
    </row>
    <row r="46" spans="1:44" ht="16.5" thickBot="1">
      <c r="A46" s="110"/>
      <c r="B46" s="288"/>
      <c r="C46" s="1442" t="s">
        <v>486</v>
      </c>
      <c r="D46" s="1443"/>
      <c r="E46" s="1444">
        <f>E45*1.6</f>
        <v>0</v>
      </c>
      <c r="F46" s="1445"/>
      <c r="G46" s="20" t="s">
        <v>487</v>
      </c>
      <c r="H46" s="285"/>
      <c r="I46" s="3"/>
      <c r="J46" s="288"/>
      <c r="K46" s="1442" t="s">
        <v>486</v>
      </c>
      <c r="L46" s="1443"/>
      <c r="M46" s="1444">
        <f>M45*1.6</f>
        <v>0</v>
      </c>
      <c r="N46" s="1445"/>
      <c r="O46" s="20" t="s">
        <v>487</v>
      </c>
      <c r="P46" s="285"/>
      <c r="Q46" s="295"/>
      <c r="S46" s="1484" t="s">
        <v>678</v>
      </c>
      <c r="T46" s="1485"/>
      <c r="U46" s="1485"/>
      <c r="V46" s="1485"/>
      <c r="W46" s="1485"/>
      <c r="X46" s="1485"/>
      <c r="Y46" s="1486"/>
      <c r="AB46" s="527"/>
      <c r="AC46" s="50"/>
      <c r="AD46" s="518" t="s">
        <v>705</v>
      </c>
      <c r="AE46" s="3"/>
      <c r="AF46" s="3"/>
      <c r="AG46" s="3"/>
      <c r="AH46" s="3"/>
      <c r="AI46" s="3"/>
      <c r="AJ46" s="3"/>
      <c r="AK46" s="3"/>
      <c r="AL46" s="3"/>
      <c r="AM46" s="3"/>
      <c r="AN46" s="3"/>
      <c r="AO46" s="3"/>
      <c r="AP46" s="3"/>
      <c r="AQ46" s="205"/>
      <c r="AR46" s="528"/>
    </row>
    <row r="47" spans="1:44" ht="16.5" thickBot="1">
      <c r="A47" s="110"/>
      <c r="B47" s="288"/>
      <c r="C47" s="1442" t="s">
        <v>483</v>
      </c>
      <c r="D47" s="1443"/>
      <c r="E47" s="1444" t="e">
        <f>E46/E44</f>
        <v>#DIV/0!</v>
      </c>
      <c r="F47" s="1445"/>
      <c r="G47" s="1340" t="e">
        <f>IF(E47&gt;1,"Sıvılaşma Yok", "Sıvılaşabilir")</f>
        <v>#DIV/0!</v>
      </c>
      <c r="H47" s="1451"/>
      <c r="I47" s="3"/>
      <c r="J47" s="288"/>
      <c r="K47" s="1442" t="s">
        <v>483</v>
      </c>
      <c r="L47" s="1443"/>
      <c r="M47" s="1444" t="e">
        <f>M46/M44</f>
        <v>#DIV/0!</v>
      </c>
      <c r="N47" s="1445"/>
      <c r="O47" s="1340" t="e">
        <f>IF(M47&gt;1,"Sıvılaşma Yok", "Sıvılaşabilir")</f>
        <v>#DIV/0!</v>
      </c>
      <c r="P47" s="1451"/>
      <c r="Q47" s="295"/>
      <c r="S47" s="480"/>
      <c r="T47" s="402"/>
      <c r="U47" s="402"/>
      <c r="V47" s="402"/>
      <c r="W47" s="402"/>
      <c r="X47" s="402"/>
      <c r="Y47" s="294"/>
      <c r="AB47" s="527"/>
      <c r="AC47" s="50"/>
      <c r="AD47" s="518" t="s">
        <v>706</v>
      </c>
      <c r="AE47" s="3"/>
      <c r="AF47" s="3"/>
      <c r="AG47" s="3"/>
      <c r="AH47" s="3"/>
      <c r="AI47" s="3"/>
      <c r="AJ47" s="3"/>
      <c r="AK47" s="3"/>
      <c r="AL47" s="3"/>
      <c r="AM47" s="3"/>
      <c r="AN47" s="3"/>
      <c r="AO47" s="3"/>
      <c r="AP47" s="3"/>
      <c r="AQ47" s="205"/>
      <c r="AR47" s="528"/>
    </row>
    <row r="48" spans="1:44" ht="16.5" thickBot="1">
      <c r="A48" s="110"/>
      <c r="B48" s="289"/>
      <c r="C48" s="286"/>
      <c r="D48" s="286"/>
      <c r="E48" s="286"/>
      <c r="F48" s="286"/>
      <c r="G48" s="286"/>
      <c r="H48" s="287"/>
      <c r="I48" s="3"/>
      <c r="J48" s="289"/>
      <c r="K48" s="286"/>
      <c r="L48" s="286"/>
      <c r="M48" s="286"/>
      <c r="N48" s="286"/>
      <c r="O48" s="286"/>
      <c r="P48" s="287"/>
      <c r="Q48" s="295"/>
      <c r="S48" s="110"/>
      <c r="T48" s="481" t="s">
        <v>671</v>
      </c>
      <c r="U48" s="482" t="e">
        <f>('Zemin Büyütmesi ve ZHTP'!AD4)^2/'Zemin Büyütmesi ve ZHTP'!T4</f>
        <v>#DIV/0!</v>
      </c>
      <c r="V48" s="1513" t="e">
        <f t="shared" ref="V48:V53" si="0">IF(U48&gt;=20,"Zeminde Hasar  oluşur","Zeminde Hasar oluşmaz")</f>
        <v>#DIV/0!</v>
      </c>
      <c r="W48" s="1514"/>
      <c r="X48" s="1515"/>
      <c r="Y48" s="295"/>
      <c r="AB48" s="527"/>
      <c r="AC48" s="50"/>
      <c r="AD48" s="518" t="s">
        <v>707</v>
      </c>
      <c r="AE48" s="3"/>
      <c r="AF48" s="3"/>
      <c r="AG48" s="3"/>
      <c r="AH48" s="3"/>
      <c r="AI48" s="3"/>
      <c r="AJ48" s="3"/>
      <c r="AK48" s="3"/>
      <c r="AL48" s="3"/>
      <c r="AM48" s="3"/>
      <c r="AN48" s="3"/>
      <c r="AO48" s="3"/>
      <c r="AP48" s="3"/>
      <c r="AQ48" s="205"/>
      <c r="AR48" s="528"/>
    </row>
    <row r="49" spans="1:44" ht="17.25" thickTop="1" thickBot="1">
      <c r="A49" s="110"/>
      <c r="B49" s="3"/>
      <c r="C49" s="3"/>
      <c r="D49" s="3"/>
      <c r="E49" s="3"/>
      <c r="F49" s="3"/>
      <c r="G49" s="3"/>
      <c r="H49" s="3"/>
      <c r="I49" s="3"/>
      <c r="J49" s="3"/>
      <c r="K49" s="3"/>
      <c r="L49" s="3"/>
      <c r="M49" s="3"/>
      <c r="N49" s="3"/>
      <c r="O49" s="3"/>
      <c r="P49" s="3"/>
      <c r="Q49" s="295"/>
      <c r="S49" s="110"/>
      <c r="T49" s="481" t="s">
        <v>672</v>
      </c>
      <c r="U49" s="482" t="e">
        <f>('Zemin Büyütmesi ve ZHTP'!AD5)^2/'Zemin Büyütmesi ve ZHTP'!T5</f>
        <v>#DIV/0!</v>
      </c>
      <c r="V49" s="1513" t="e">
        <f t="shared" si="0"/>
        <v>#DIV/0!</v>
      </c>
      <c r="W49" s="1514"/>
      <c r="X49" s="1515"/>
      <c r="Y49" s="295"/>
      <c r="AB49" s="527"/>
      <c r="AC49" s="50"/>
      <c r="AD49" s="518" t="s">
        <v>708</v>
      </c>
      <c r="AE49" s="3"/>
      <c r="AF49" s="3"/>
      <c r="AG49" s="3"/>
      <c r="AH49" s="3"/>
      <c r="AI49" s="3"/>
      <c r="AJ49" s="3"/>
      <c r="AK49" s="3"/>
      <c r="AL49" s="3"/>
      <c r="AM49" s="3"/>
      <c r="AN49" s="3"/>
      <c r="AO49" s="3"/>
      <c r="AP49" s="3"/>
      <c r="AQ49" s="205"/>
      <c r="AR49" s="528"/>
    </row>
    <row r="50" spans="1:44" ht="17.25" thickTop="1" thickBot="1">
      <c r="A50" s="110"/>
      <c r="B50" s="1452" t="s">
        <v>480</v>
      </c>
      <c r="C50" s="1453"/>
      <c r="D50" s="1453"/>
      <c r="E50" s="1453"/>
      <c r="F50" s="1453"/>
      <c r="G50" s="1453"/>
      <c r="H50" s="1454"/>
      <c r="I50" s="3"/>
      <c r="J50" s="1452" t="s">
        <v>480</v>
      </c>
      <c r="K50" s="1453"/>
      <c r="L50" s="1453"/>
      <c r="M50" s="1453"/>
      <c r="N50" s="1453"/>
      <c r="O50" s="1453"/>
      <c r="P50" s="1454"/>
      <c r="Q50" s="295"/>
      <c r="S50" s="110"/>
      <c r="T50" s="481" t="s">
        <v>673</v>
      </c>
      <c r="U50" s="482" t="e">
        <f>('Zemin Büyütmesi ve ZHTP'!AD6)^2/'Zemin Büyütmesi ve ZHTP'!T6</f>
        <v>#DIV/0!</v>
      </c>
      <c r="V50" s="1513" t="e">
        <f t="shared" si="0"/>
        <v>#DIV/0!</v>
      </c>
      <c r="W50" s="1514"/>
      <c r="X50" s="1515"/>
      <c r="Y50" s="295"/>
      <c r="AB50" s="527"/>
      <c r="AC50" s="50"/>
      <c r="AD50" s="518" t="s">
        <v>716</v>
      </c>
      <c r="AE50" s="3"/>
      <c r="AF50" s="3"/>
      <c r="AG50" s="3"/>
      <c r="AH50" s="3"/>
      <c r="AI50" s="3"/>
      <c r="AJ50" s="3"/>
      <c r="AK50" s="3"/>
      <c r="AL50" s="3"/>
      <c r="AM50" s="3"/>
      <c r="AN50" s="3"/>
      <c r="AO50" s="3"/>
      <c r="AP50" s="3"/>
      <c r="AQ50" s="205"/>
      <c r="AR50" s="528"/>
    </row>
    <row r="51" spans="1:44" ht="16.5" thickBot="1">
      <c r="A51" s="110"/>
      <c r="B51" s="283" t="s">
        <v>47</v>
      </c>
      <c r="C51" s="284"/>
      <c r="D51" s="20"/>
      <c r="E51" s="20"/>
      <c r="F51" s="20"/>
      <c r="G51" s="20"/>
      <c r="H51" s="285"/>
      <c r="I51" s="3"/>
      <c r="J51" s="283" t="s">
        <v>50</v>
      </c>
      <c r="K51" s="284"/>
      <c r="L51" s="20"/>
      <c r="M51" s="20"/>
      <c r="N51" s="20"/>
      <c r="O51" s="20"/>
      <c r="P51" s="285"/>
      <c r="Q51" s="295"/>
      <c r="S51" s="110"/>
      <c r="T51" s="481" t="s">
        <v>674</v>
      </c>
      <c r="U51" s="482" t="e">
        <f>('Zemin Büyütmesi ve ZHTP'!AD7)^2/'Zemin Büyütmesi ve ZHTP'!T7</f>
        <v>#DIV/0!</v>
      </c>
      <c r="V51" s="1513" t="e">
        <f t="shared" si="0"/>
        <v>#DIV/0!</v>
      </c>
      <c r="W51" s="1514"/>
      <c r="X51" s="1515"/>
      <c r="Y51" s="295"/>
      <c r="AB51" s="527"/>
      <c r="AC51" s="50"/>
      <c r="AD51" s="518" t="s">
        <v>710</v>
      </c>
      <c r="AE51" s="3"/>
      <c r="AF51" s="3"/>
      <c r="AG51" s="3"/>
      <c r="AH51" s="3"/>
      <c r="AI51" s="3"/>
      <c r="AJ51" s="3"/>
      <c r="AK51" s="3"/>
      <c r="AL51" s="3"/>
      <c r="AM51" s="3"/>
      <c r="AN51" s="3"/>
      <c r="AO51" s="3"/>
      <c r="AP51" s="3"/>
      <c r="AQ51" s="205"/>
      <c r="AR51" s="528"/>
    </row>
    <row r="52" spans="1:44" ht="16.5" thickBot="1">
      <c r="A52" s="110"/>
      <c r="B52" s="288"/>
      <c r="C52" s="1442" t="s">
        <v>566</v>
      </c>
      <c r="D52" s="1443"/>
      <c r="E52" s="1442">
        <f>Sismik!C53</f>
        <v>0</v>
      </c>
      <c r="F52" s="1443"/>
      <c r="G52" s="20" t="s">
        <v>488</v>
      </c>
      <c r="H52" s="285"/>
      <c r="I52" s="3"/>
      <c r="J52" s="288"/>
      <c r="K52" s="1442" t="s">
        <v>566</v>
      </c>
      <c r="L52" s="1443"/>
      <c r="M52" s="1442">
        <f>Sismik!C131</f>
        <v>0</v>
      </c>
      <c r="N52" s="1443"/>
      <c r="O52" s="20" t="s">
        <v>488</v>
      </c>
      <c r="P52" s="285"/>
      <c r="Q52" s="295"/>
      <c r="S52" s="110"/>
      <c r="T52" s="481" t="s">
        <v>675</v>
      </c>
      <c r="U52" s="482" t="e">
        <f>('Zemin Büyütmesi ve ZHTP'!AD8)^2/'Zemin Büyütmesi ve ZHTP'!T8</f>
        <v>#DIV/0!</v>
      </c>
      <c r="V52" s="1513" t="e">
        <f t="shared" si="0"/>
        <v>#DIV/0!</v>
      </c>
      <c r="W52" s="1514"/>
      <c r="X52" s="1515"/>
      <c r="Y52" s="295"/>
      <c r="AB52" s="527"/>
      <c r="AC52" s="50"/>
      <c r="AD52" s="518" t="s">
        <v>711</v>
      </c>
      <c r="AE52" s="3"/>
      <c r="AF52" s="3"/>
      <c r="AG52" s="3"/>
      <c r="AH52" s="3"/>
      <c r="AI52" s="3"/>
      <c r="AJ52" s="3"/>
      <c r="AK52" s="3"/>
      <c r="AL52" s="3"/>
      <c r="AM52" s="3"/>
      <c r="AN52" s="3"/>
      <c r="AO52" s="3"/>
      <c r="AP52" s="3"/>
      <c r="AQ52" s="205"/>
      <c r="AR52" s="528"/>
    </row>
    <row r="53" spans="1:44" ht="16.5" thickBot="1">
      <c r="A53" s="110"/>
      <c r="B53" s="288"/>
      <c r="C53" s="1442" t="s">
        <v>489</v>
      </c>
      <c r="D53" s="1443"/>
      <c r="E53" s="1444">
        <v>30</v>
      </c>
      <c r="F53" s="1443"/>
      <c r="G53" s="20" t="s">
        <v>488</v>
      </c>
      <c r="H53" s="285"/>
      <c r="I53" s="3"/>
      <c r="J53" s="288"/>
      <c r="K53" s="1442" t="s">
        <v>489</v>
      </c>
      <c r="L53" s="1443"/>
      <c r="M53" s="1444">
        <v>30</v>
      </c>
      <c r="N53" s="1443"/>
      <c r="O53" s="20" t="s">
        <v>488</v>
      </c>
      <c r="P53" s="285"/>
      <c r="Q53" s="295"/>
      <c r="S53" s="110"/>
      <c r="T53" s="481" t="s">
        <v>676</v>
      </c>
      <c r="U53" s="482" t="e">
        <f>('Zemin Büyütmesi ve ZHTP'!AD9)^2/'Zemin Büyütmesi ve ZHTP'!T9</f>
        <v>#DIV/0!</v>
      </c>
      <c r="V53" s="1513" t="e">
        <f t="shared" si="0"/>
        <v>#DIV/0!</v>
      </c>
      <c r="W53" s="1514"/>
      <c r="X53" s="1515"/>
      <c r="Y53" s="295"/>
      <c r="AB53" s="527"/>
      <c r="AC53" s="50"/>
      <c r="AD53" s="518" t="s">
        <v>712</v>
      </c>
      <c r="AE53" s="3"/>
      <c r="AF53" s="3"/>
      <c r="AG53" s="3"/>
      <c r="AH53" s="3"/>
      <c r="AI53" s="3"/>
      <c r="AJ53" s="3"/>
      <c r="AK53" s="3"/>
      <c r="AL53" s="3"/>
      <c r="AM53" s="3"/>
      <c r="AN53" s="3"/>
      <c r="AO53" s="3"/>
      <c r="AP53" s="3"/>
      <c r="AQ53" s="205"/>
      <c r="AR53" s="528"/>
    </row>
    <row r="54" spans="1:44" ht="15.75" thickBot="1">
      <c r="A54" s="110"/>
      <c r="B54" s="288"/>
      <c r="C54" s="1442" t="s">
        <v>482</v>
      </c>
      <c r="D54" s="1443"/>
      <c r="E54" s="1442">
        <f>IF(F152=1,G38,IF(F152=2,I189,IF(F152=3,I190,IF(F152=4,I191,IF(F152=5,I192)))))</f>
        <v>0</v>
      </c>
      <c r="F54" s="1443"/>
      <c r="G54" s="20"/>
      <c r="H54" s="285"/>
      <c r="I54" s="3"/>
      <c r="J54" s="288"/>
      <c r="K54" s="1442" t="s">
        <v>482</v>
      </c>
      <c r="L54" s="1443"/>
      <c r="M54" s="1442">
        <f>IF(F152=1,G38,IF(F152=2,I189,IF(F152=3,I190,IF(F152=4,I191,IF(F152=5,I192)))))</f>
        <v>0</v>
      </c>
      <c r="N54" s="1443"/>
      <c r="O54" s="20"/>
      <c r="P54" s="285"/>
      <c r="Q54" s="295"/>
      <c r="S54" s="296"/>
      <c r="T54" s="297"/>
      <c r="U54" s="297"/>
      <c r="V54" s="297"/>
      <c r="W54" s="297"/>
      <c r="X54" s="1487" t="s">
        <v>677</v>
      </c>
      <c r="Y54" s="1488"/>
      <c r="AB54" s="527"/>
      <c r="AC54" s="50"/>
      <c r="AD54" s="3"/>
      <c r="AE54" s="3"/>
      <c r="AF54" s="3"/>
      <c r="AG54" s="3"/>
      <c r="AH54" s="3"/>
      <c r="AI54" s="3"/>
      <c r="AJ54" s="3"/>
      <c r="AK54" s="3"/>
      <c r="AL54" s="3"/>
      <c r="AM54" s="3"/>
      <c r="AN54" s="3"/>
      <c r="AO54" s="3"/>
      <c r="AP54" s="3"/>
      <c r="AQ54" s="205"/>
      <c r="AR54" s="528"/>
    </row>
    <row r="55" spans="1:44" ht="15.75" thickBot="1">
      <c r="A55" s="110"/>
      <c r="B55" s="288"/>
      <c r="C55" s="1442" t="s">
        <v>485</v>
      </c>
      <c r="D55" s="1443"/>
      <c r="E55" s="1444">
        <f>(0.0001*(0.8)*(E52^2))/(9.8*E53*(1-0.015*E53))</f>
        <v>0</v>
      </c>
      <c r="F55" s="1445"/>
      <c r="G55" s="20" t="s">
        <v>487</v>
      </c>
      <c r="H55" s="285"/>
      <c r="I55" s="3"/>
      <c r="J55" s="288"/>
      <c r="K55" s="1442" t="s">
        <v>485</v>
      </c>
      <c r="L55" s="1443"/>
      <c r="M55" s="1444">
        <f>(0.0001*(0.8)*(M52^2))/(9.8*M53*(1-0.015*M53))</f>
        <v>0</v>
      </c>
      <c r="N55" s="1445"/>
      <c r="O55" s="20" t="s">
        <v>487</v>
      </c>
      <c r="P55" s="285"/>
      <c r="Q55" s="295"/>
      <c r="AB55" s="527"/>
      <c r="AC55" s="50"/>
      <c r="AD55" s="3"/>
      <c r="AE55" s="3"/>
      <c r="AF55" s="3"/>
      <c r="AG55" s="3"/>
      <c r="AH55" s="3"/>
      <c r="AI55" s="3"/>
      <c r="AJ55" s="3"/>
      <c r="AK55" s="3"/>
      <c r="AL55" s="3"/>
      <c r="AM55" s="3"/>
      <c r="AN55" s="3"/>
      <c r="AO55" s="3"/>
      <c r="AP55" s="3"/>
      <c r="AQ55" s="205"/>
      <c r="AR55" s="528"/>
    </row>
    <row r="56" spans="1:44" ht="19.5" thickBot="1">
      <c r="A56" s="110"/>
      <c r="B56" s="288"/>
      <c r="C56" s="1442" t="s">
        <v>486</v>
      </c>
      <c r="D56" s="1443"/>
      <c r="E56" s="1444">
        <f>E55*1.6</f>
        <v>0</v>
      </c>
      <c r="F56" s="1445"/>
      <c r="G56" s="20" t="s">
        <v>487</v>
      </c>
      <c r="H56" s="285"/>
      <c r="I56" s="3"/>
      <c r="J56" s="288"/>
      <c r="K56" s="1442" t="s">
        <v>486</v>
      </c>
      <c r="L56" s="1443"/>
      <c r="M56" s="1444">
        <f>M55*1.6</f>
        <v>0</v>
      </c>
      <c r="N56" s="1445"/>
      <c r="O56" s="20" t="s">
        <v>487</v>
      </c>
      <c r="P56" s="285"/>
      <c r="Q56" s="295"/>
      <c r="S56" s="1520" t="s">
        <v>755</v>
      </c>
      <c r="T56" s="1520"/>
      <c r="U56" s="1520"/>
      <c r="V56" s="1520"/>
      <c r="W56" s="3"/>
      <c r="X56" s="3"/>
      <c r="AB56" s="527"/>
      <c r="AC56" s="50"/>
      <c r="AD56" s="532" t="s">
        <v>706</v>
      </c>
      <c r="AE56" s="3"/>
      <c r="AF56" s="3"/>
      <c r="AG56" s="3"/>
      <c r="AH56" s="3"/>
      <c r="AI56" s="3"/>
      <c r="AJ56" s="3"/>
      <c r="AK56" s="3"/>
      <c r="AL56" s="3"/>
      <c r="AM56" s="3"/>
      <c r="AN56" s="3"/>
      <c r="AO56" s="3"/>
      <c r="AP56" s="3"/>
      <c r="AQ56" s="205"/>
      <c r="AR56" s="528"/>
    </row>
    <row r="57" spans="1:44" ht="15.75" customHeight="1" thickBot="1">
      <c r="A57" s="110"/>
      <c r="B57" s="288"/>
      <c r="C57" s="1442" t="s">
        <v>483</v>
      </c>
      <c r="D57" s="1443"/>
      <c r="E57" s="1444" t="e">
        <f>E56/E54</f>
        <v>#DIV/0!</v>
      </c>
      <c r="F57" s="1445"/>
      <c r="G57" s="1340" t="e">
        <f>IF(E57&gt;1,"Sıvılaşma Yok", "Sıvılaşabilir")</f>
        <v>#DIV/0!</v>
      </c>
      <c r="H57" s="1451"/>
      <c r="I57" s="3"/>
      <c r="J57" s="288"/>
      <c r="K57" s="1442" t="s">
        <v>483</v>
      </c>
      <c r="L57" s="1443"/>
      <c r="M57" s="1444" t="e">
        <f>M56/M54</f>
        <v>#DIV/0!</v>
      </c>
      <c r="N57" s="1445"/>
      <c r="O57" s="1340" t="e">
        <f>IF(M57&gt;1,"Sıvılaşma Yok", "Sıvılaşabilir")</f>
        <v>#DIV/0!</v>
      </c>
      <c r="P57" s="1451"/>
      <c r="Q57" s="295"/>
      <c r="S57" s="1507" t="s">
        <v>752</v>
      </c>
      <c r="T57" s="1508"/>
      <c r="U57" s="1516" t="s">
        <v>754</v>
      </c>
      <c r="V57" s="1518"/>
      <c r="W57" s="572"/>
      <c r="X57" s="572"/>
      <c r="Y57" s="572"/>
      <c r="Z57" s="572"/>
      <c r="AB57" s="527"/>
      <c r="AC57" s="50"/>
      <c r="AD57" s="3"/>
      <c r="AE57" s="3"/>
      <c r="AF57" s="3"/>
      <c r="AG57" s="3"/>
      <c r="AH57" s="3"/>
      <c r="AI57" s="3"/>
      <c r="AJ57" s="3"/>
      <c r="AK57" s="3"/>
      <c r="AL57" s="3"/>
      <c r="AM57" s="3"/>
      <c r="AN57" s="3"/>
      <c r="AO57" s="3"/>
      <c r="AP57" s="3"/>
      <c r="AQ57" s="205"/>
      <c r="AR57" s="528"/>
    </row>
    <row r="58" spans="1:44" ht="19.5" thickBot="1">
      <c r="A58" s="110"/>
      <c r="B58" s="289"/>
      <c r="C58" s="286"/>
      <c r="D58" s="286"/>
      <c r="E58" s="286"/>
      <c r="F58" s="286"/>
      <c r="G58" s="286"/>
      <c r="H58" s="287"/>
      <c r="I58" s="3"/>
      <c r="J58" s="289"/>
      <c r="K58" s="286"/>
      <c r="L58" s="286"/>
      <c r="M58" s="286"/>
      <c r="N58" s="286"/>
      <c r="O58" s="286"/>
      <c r="P58" s="287"/>
      <c r="Q58" s="295"/>
      <c r="S58" s="1509"/>
      <c r="T58" s="1510"/>
      <c r="U58" s="1517"/>
      <c r="V58" s="1519"/>
      <c r="W58" s="572"/>
      <c r="X58" s="572"/>
      <c r="Y58" s="572"/>
      <c r="Z58" s="572"/>
      <c r="AB58" s="527"/>
      <c r="AC58" s="50"/>
      <c r="AD58" s="531" t="s">
        <v>713</v>
      </c>
      <c r="AE58" s="1489" t="e">
        <f>(AP41^2*0.00008)/(AP40*(0.9889*9.8))</f>
        <v>#DIV/0!</v>
      </c>
      <c r="AF58" s="1490"/>
      <c r="AG58" s="3"/>
      <c r="AH58" s="3"/>
      <c r="AI58" s="3"/>
      <c r="AJ58" s="3"/>
      <c r="AK58" s="3"/>
      <c r="AL58" s="3"/>
      <c r="AM58" s="3"/>
      <c r="AN58" s="3"/>
      <c r="AO58" s="3"/>
      <c r="AP58" s="3"/>
      <c r="AQ58" s="205"/>
      <c r="AR58" s="528"/>
    </row>
    <row r="59" spans="1:44" ht="20.25" thickTop="1" thickBot="1">
      <c r="A59" s="110"/>
      <c r="B59" s="3"/>
      <c r="C59" s="3"/>
      <c r="D59" s="3"/>
      <c r="E59" s="3"/>
      <c r="F59" s="3"/>
      <c r="G59" s="3"/>
      <c r="H59" s="3"/>
      <c r="I59" s="3"/>
      <c r="J59" s="3"/>
      <c r="K59" s="3"/>
      <c r="L59" s="3"/>
      <c r="M59" s="3"/>
      <c r="N59" s="3"/>
      <c r="O59" s="3"/>
      <c r="P59" s="3"/>
      <c r="Q59" s="295"/>
      <c r="S59" s="574" t="s">
        <v>753</v>
      </c>
      <c r="T59" s="575" t="s">
        <v>502</v>
      </c>
      <c r="U59" s="1511">
        <f>10^(0.77*V57-3.6)</f>
        <v>2.5118864315095774E-4</v>
      </c>
      <c r="V59" s="1512"/>
      <c r="W59" s="572" t="s">
        <v>756</v>
      </c>
      <c r="X59" s="572"/>
      <c r="Y59" s="572"/>
      <c r="Z59" s="572"/>
      <c r="AB59" s="527"/>
      <c r="AC59" s="50"/>
      <c r="AD59" s="3"/>
      <c r="AE59" s="3"/>
      <c r="AF59" s="3"/>
      <c r="AG59" s="3"/>
      <c r="AH59" s="3"/>
      <c r="AI59" s="3"/>
      <c r="AJ59" s="3"/>
      <c r="AK59" s="3"/>
      <c r="AL59" s="3"/>
      <c r="AM59" s="3"/>
      <c r="AN59" s="3"/>
      <c r="AO59" s="3"/>
      <c r="AP59" s="3"/>
      <c r="AQ59" s="205"/>
      <c r="AR59" s="528"/>
    </row>
    <row r="60" spans="1:44" ht="20.25" thickTop="1" thickBot="1">
      <c r="A60" s="110"/>
      <c r="B60" s="1452" t="s">
        <v>480</v>
      </c>
      <c r="C60" s="1453"/>
      <c r="D60" s="1453"/>
      <c r="E60" s="1453"/>
      <c r="F60" s="1453"/>
      <c r="G60" s="1453"/>
      <c r="H60" s="1454"/>
      <c r="I60" s="3"/>
      <c r="J60" s="1452" t="s">
        <v>480</v>
      </c>
      <c r="K60" s="1453"/>
      <c r="L60" s="1453"/>
      <c r="M60" s="1453"/>
      <c r="N60" s="1453"/>
      <c r="O60" s="1453"/>
      <c r="P60" s="1454"/>
      <c r="Q60" s="295"/>
      <c r="S60" s="577" t="s">
        <v>753</v>
      </c>
      <c r="T60" s="575" t="s">
        <v>502</v>
      </c>
      <c r="U60" s="1511" t="e">
        <f>10^(3.5*LOG(1.4*V57-6))</f>
        <v>#NUM!</v>
      </c>
      <c r="V60" s="1512"/>
      <c r="W60" s="572" t="s">
        <v>757</v>
      </c>
      <c r="X60" s="88"/>
      <c r="Y60" s="572"/>
      <c r="Z60" s="572"/>
      <c r="AB60" s="527"/>
      <c r="AC60" s="50"/>
      <c r="AD60" s="531" t="s">
        <v>714</v>
      </c>
      <c r="AE60" s="1489" t="e">
        <f>1.6*(AE58/0.4)</f>
        <v>#DIV/0!</v>
      </c>
      <c r="AF60" s="1490"/>
      <c r="AG60" s="1110" t="e">
        <f>IF(AE60&lt;=1,"Sıvılaşma beklenir","sıvılaşma beklenmez")</f>
        <v>#DIV/0!</v>
      </c>
      <c r="AH60" s="1111"/>
      <c r="AI60" s="1112"/>
      <c r="AJ60" s="50"/>
      <c r="AK60" s="3"/>
      <c r="AL60" s="3"/>
      <c r="AM60" s="3"/>
      <c r="AN60" s="3"/>
      <c r="AO60" s="3"/>
      <c r="AP60" s="3"/>
      <c r="AQ60" s="205"/>
      <c r="AR60" s="528"/>
    </row>
    <row r="61" spans="1:44" ht="16.5" thickBot="1">
      <c r="A61" s="110"/>
      <c r="B61" s="283" t="s">
        <v>48</v>
      </c>
      <c r="C61" s="284"/>
      <c r="D61" s="20"/>
      <c r="E61" s="20"/>
      <c r="F61" s="20"/>
      <c r="G61" s="20"/>
      <c r="H61" s="285"/>
      <c r="I61" s="3"/>
      <c r="J61" s="283" t="s">
        <v>51</v>
      </c>
      <c r="K61" s="284"/>
      <c r="L61" s="20"/>
      <c r="M61" s="20"/>
      <c r="N61" s="20"/>
      <c r="O61" s="20"/>
      <c r="P61" s="285"/>
      <c r="Q61" s="295"/>
      <c r="Y61" s="573"/>
      <c r="Z61" s="573"/>
      <c r="AB61" s="527"/>
      <c r="AC61" s="50"/>
      <c r="AD61" s="3"/>
      <c r="AE61" s="3"/>
      <c r="AF61" s="3"/>
      <c r="AG61" s="3"/>
      <c r="AH61" s="3"/>
      <c r="AI61" s="3"/>
      <c r="AJ61" s="3"/>
      <c r="AK61" s="3"/>
      <c r="AL61" s="3"/>
      <c r="AM61" s="3"/>
      <c r="AN61" s="3"/>
      <c r="AO61" s="3"/>
      <c r="AP61" s="3"/>
      <c r="AQ61" s="205"/>
      <c r="AR61" s="528"/>
    </row>
    <row r="62" spans="1:44" ht="15.75" thickBot="1">
      <c r="A62" s="110"/>
      <c r="B62" s="288"/>
      <c r="C62" s="1442" t="s">
        <v>566</v>
      </c>
      <c r="D62" s="1443"/>
      <c r="E62" s="1442">
        <f>Sismik!C79</f>
        <v>0</v>
      </c>
      <c r="F62" s="1443"/>
      <c r="G62" s="20" t="s">
        <v>488</v>
      </c>
      <c r="H62" s="285"/>
      <c r="I62" s="3"/>
      <c r="J62" s="288"/>
      <c r="K62" s="1442" t="s">
        <v>566</v>
      </c>
      <c r="L62" s="1443"/>
      <c r="M62" s="1442">
        <f>Sismik!C157</f>
        <v>0</v>
      </c>
      <c r="N62" s="1443"/>
      <c r="O62" s="20" t="s">
        <v>488</v>
      </c>
      <c r="P62" s="285"/>
      <c r="Q62" s="295"/>
      <c r="S62" s="88"/>
      <c r="T62" s="88"/>
      <c r="U62" s="88"/>
      <c r="V62" s="88"/>
      <c r="W62" s="88"/>
      <c r="X62" s="88"/>
      <c r="Y62" s="573"/>
      <c r="Z62" s="573"/>
      <c r="AB62" s="527"/>
      <c r="AC62" s="207"/>
      <c r="AD62" s="208"/>
      <c r="AE62" s="208"/>
      <c r="AF62" s="208"/>
      <c r="AG62" s="208"/>
      <c r="AH62" s="208"/>
      <c r="AI62" s="208"/>
      <c r="AJ62" s="208"/>
      <c r="AK62" s="208"/>
      <c r="AL62" s="208"/>
      <c r="AM62" s="208"/>
      <c r="AN62" s="208"/>
      <c r="AO62" s="208"/>
      <c r="AP62" s="208"/>
      <c r="AQ62" s="206"/>
      <c r="AR62" s="528"/>
    </row>
    <row r="63" spans="1:44" ht="15.75" thickBot="1">
      <c r="A63" s="110"/>
      <c r="B63" s="288"/>
      <c r="C63" s="1442" t="s">
        <v>489</v>
      </c>
      <c r="D63" s="1443"/>
      <c r="E63" s="1444">
        <v>30</v>
      </c>
      <c r="F63" s="1443"/>
      <c r="G63" s="20" t="s">
        <v>488</v>
      </c>
      <c r="H63" s="285"/>
      <c r="I63" s="3"/>
      <c r="J63" s="288"/>
      <c r="K63" s="1442" t="s">
        <v>489</v>
      </c>
      <c r="L63" s="1443"/>
      <c r="M63" s="1444">
        <v>30</v>
      </c>
      <c r="N63" s="1443"/>
      <c r="O63" s="20" t="s">
        <v>488</v>
      </c>
      <c r="P63" s="285"/>
      <c r="Q63" s="295"/>
      <c r="S63" s="88"/>
      <c r="T63" s="88"/>
      <c r="U63" s="88"/>
      <c r="V63" s="88"/>
      <c r="W63" s="88"/>
      <c r="X63" s="88"/>
      <c r="Y63" s="573"/>
      <c r="Z63" s="573"/>
      <c r="AB63" s="526"/>
      <c r="AC63" s="526"/>
      <c r="AD63" s="526"/>
      <c r="AE63" s="526"/>
      <c r="AF63" s="526"/>
      <c r="AG63" s="526"/>
      <c r="AH63" s="526"/>
      <c r="AI63" s="526"/>
      <c r="AJ63" s="526"/>
      <c r="AK63" s="526"/>
      <c r="AL63" s="526"/>
      <c r="AM63" s="526"/>
      <c r="AN63" s="526"/>
      <c r="AO63" s="526"/>
      <c r="AP63" s="526"/>
      <c r="AQ63" s="526"/>
      <c r="AR63" s="526"/>
    </row>
    <row r="64" spans="1:44" ht="16.5" thickBot="1">
      <c r="A64" s="110"/>
      <c r="B64" s="288"/>
      <c r="C64" s="1442" t="s">
        <v>482</v>
      </c>
      <c r="D64" s="1443"/>
      <c r="E64" s="1442">
        <f>IF(F152=1,G38,IF(F152=2,I189,IF(F152=3,I190,IF(F152=4,I191,IF(F152=5,I192)))))</f>
        <v>0</v>
      </c>
      <c r="F64" s="1443"/>
      <c r="G64" s="20"/>
      <c r="H64" s="285"/>
      <c r="I64" s="3"/>
      <c r="J64" s="288"/>
      <c r="K64" s="1442" t="s">
        <v>482</v>
      </c>
      <c r="L64" s="1443"/>
      <c r="M64" s="1442">
        <f>IF(F152=1,G38,IF(F152=2,I189,IF(F152=3,I190,IF(F152=4,I191,IF(F152=5,I192)))))</f>
        <v>0</v>
      </c>
      <c r="N64" s="1443"/>
      <c r="O64" s="20"/>
      <c r="P64" s="285"/>
      <c r="Q64" s="295"/>
      <c r="S64" s="67" t="s">
        <v>758</v>
      </c>
      <c r="T64" s="19"/>
      <c r="U64" s="3"/>
      <c r="V64" s="3"/>
      <c r="W64" s="3"/>
      <c r="X64" s="3"/>
    </row>
    <row r="65" spans="1:37" ht="15.75" thickBot="1">
      <c r="A65" s="110"/>
      <c r="B65" s="288"/>
      <c r="C65" s="1442" t="s">
        <v>485</v>
      </c>
      <c r="D65" s="1443"/>
      <c r="E65" s="1444">
        <f>(0.0001*(0.8)*(E62^2))/(9.8*E63*(1-0.015*E63))</f>
        <v>0</v>
      </c>
      <c r="F65" s="1445"/>
      <c r="G65" s="20" t="s">
        <v>487</v>
      </c>
      <c r="H65" s="285"/>
      <c r="I65" s="3"/>
      <c r="J65" s="288"/>
      <c r="K65" s="1442" t="s">
        <v>485</v>
      </c>
      <c r="L65" s="1443"/>
      <c r="M65" s="1444">
        <f>(0.0001*(0.8)*(M62^2))/(9.8*M63*(1-0.015*M63))</f>
        <v>0</v>
      </c>
      <c r="N65" s="1445"/>
      <c r="O65" s="20" t="s">
        <v>487</v>
      </c>
      <c r="P65" s="285"/>
      <c r="Q65" s="295"/>
      <c r="S65" s="1438" t="s">
        <v>759</v>
      </c>
      <c r="T65" s="1439"/>
      <c r="U65" s="1440"/>
      <c r="V65" s="424" t="s">
        <v>497</v>
      </c>
      <c r="W65" s="3"/>
      <c r="X65" s="3"/>
    </row>
    <row r="66" spans="1:37" ht="19.5" thickBot="1">
      <c r="A66" s="110"/>
      <c r="B66" s="288"/>
      <c r="C66" s="1442" t="s">
        <v>486</v>
      </c>
      <c r="D66" s="1443"/>
      <c r="E66" s="1444">
        <f>E65*1.6</f>
        <v>0</v>
      </c>
      <c r="F66" s="1445"/>
      <c r="G66" s="20" t="s">
        <v>487</v>
      </c>
      <c r="H66" s="285"/>
      <c r="I66" s="3"/>
      <c r="J66" s="288"/>
      <c r="K66" s="1442" t="s">
        <v>486</v>
      </c>
      <c r="L66" s="1443"/>
      <c r="M66" s="1444">
        <f>M65*1.6</f>
        <v>0</v>
      </c>
      <c r="N66" s="1445"/>
      <c r="O66" s="20" t="s">
        <v>487</v>
      </c>
      <c r="P66" s="285"/>
      <c r="Q66" s="295"/>
      <c r="S66" s="574" t="s">
        <v>753</v>
      </c>
      <c r="T66" s="575" t="s">
        <v>502</v>
      </c>
      <c r="U66" s="623"/>
      <c r="V66" s="635" t="e">
        <f>4.68+(9.2/1000)*U66+0.9*LOG(U66)</f>
        <v>#NUM!</v>
      </c>
      <c r="W66" s="519" t="s">
        <v>760</v>
      </c>
      <c r="X66" s="3"/>
      <c r="AD66" s="337"/>
      <c r="AE66" s="1441" t="s">
        <v>717</v>
      </c>
      <c r="AF66" s="1441"/>
      <c r="AG66" s="1441"/>
      <c r="AH66" s="1441"/>
      <c r="AI66" s="204"/>
    </row>
    <row r="67" spans="1:37" ht="15.75" thickBot="1">
      <c r="A67" s="110"/>
      <c r="B67" s="288"/>
      <c r="C67" s="1442" t="s">
        <v>483</v>
      </c>
      <c r="D67" s="1443"/>
      <c r="E67" s="1444" t="e">
        <f>E66/E64</f>
        <v>#DIV/0!</v>
      </c>
      <c r="F67" s="1445"/>
      <c r="G67" s="1340" t="e">
        <f>IF(E67&gt;1,"Sıvılaşma Yok", "Sıvılaşabilir")</f>
        <v>#DIV/0!</v>
      </c>
      <c r="H67" s="1451"/>
      <c r="I67" s="3"/>
      <c r="J67" s="288"/>
      <c r="K67" s="1442" t="s">
        <v>483</v>
      </c>
      <c r="L67" s="1443"/>
      <c r="M67" s="1444" t="e">
        <f>M66/M64</f>
        <v>#DIV/0!</v>
      </c>
      <c r="N67" s="1445"/>
      <c r="O67" s="1340" t="e">
        <f>IF(M67&gt;1,"Sıvılaşma Yok", "Sıvılaşabilir")</f>
        <v>#DIV/0!</v>
      </c>
      <c r="P67" s="1451"/>
      <c r="Q67" s="295"/>
      <c r="AD67" s="537" t="s">
        <v>718</v>
      </c>
      <c r="AE67" s="519" t="s">
        <v>719</v>
      </c>
      <c r="AF67" s="3"/>
      <c r="AG67" s="538" t="s">
        <v>720</v>
      </c>
      <c r="AH67" s="3"/>
      <c r="AI67" s="205"/>
      <c r="AJ67" s="1431" t="s">
        <v>794</v>
      </c>
      <c r="AK67" s="1432"/>
    </row>
    <row r="68" spans="1:37" ht="15.75" thickBot="1">
      <c r="A68" s="110"/>
      <c r="B68" s="289"/>
      <c r="C68" s="286"/>
      <c r="D68" s="286"/>
      <c r="E68" s="286"/>
      <c r="F68" s="286"/>
      <c r="G68" s="286"/>
      <c r="H68" s="287"/>
      <c r="I68" s="3"/>
      <c r="J68" s="289"/>
      <c r="K68" s="286"/>
      <c r="L68" s="286"/>
      <c r="M68" s="286"/>
      <c r="N68" s="286"/>
      <c r="O68" s="286"/>
      <c r="P68" s="287"/>
      <c r="Q68" s="295"/>
      <c r="S68" s="3"/>
      <c r="T68" s="3"/>
      <c r="U68" s="3"/>
      <c r="V68" s="3"/>
      <c r="W68" s="3"/>
      <c r="X68" s="3"/>
      <c r="AD68" s="339" t="s">
        <v>718</v>
      </c>
      <c r="AE68" s="3" t="s">
        <v>721</v>
      </c>
      <c r="AF68" s="3"/>
      <c r="AG68" s="3"/>
      <c r="AH68" s="3"/>
      <c r="AI68" s="205"/>
      <c r="AJ68" s="1431"/>
      <c r="AK68" s="1432"/>
    </row>
    <row r="69" spans="1:37" ht="20.25" thickTop="1" thickBot="1">
      <c r="A69" s="296"/>
      <c r="B69" s="297"/>
      <c r="C69" s="297"/>
      <c r="D69" s="297"/>
      <c r="E69" s="297"/>
      <c r="F69" s="297"/>
      <c r="G69" s="297"/>
      <c r="H69" s="297"/>
      <c r="I69" s="297"/>
      <c r="J69" s="297"/>
      <c r="K69" s="297"/>
      <c r="L69" s="297"/>
      <c r="M69" s="297"/>
      <c r="N69" s="297"/>
      <c r="O69" s="297"/>
      <c r="P69" s="297"/>
      <c r="Q69" s="298"/>
      <c r="S69" s="636"/>
      <c r="T69" s="637"/>
      <c r="U69" s="638"/>
      <c r="V69" s="151"/>
      <c r="W69" s="151"/>
      <c r="X69" s="151"/>
      <c r="AD69" s="50"/>
      <c r="AE69" s="3"/>
      <c r="AF69" s="3"/>
      <c r="AG69" s="538" t="s">
        <v>722</v>
      </c>
      <c r="AH69" s="3"/>
      <c r="AI69" s="205"/>
    </row>
    <row r="70" spans="1:37" ht="19.5" thickBot="1">
      <c r="S70" s="636"/>
      <c r="T70" s="637"/>
      <c r="U70" s="638"/>
      <c r="V70" s="636"/>
      <c r="W70" s="639"/>
      <c r="X70" s="151"/>
      <c r="AD70" s="537" t="s">
        <v>548</v>
      </c>
      <c r="AE70" s="624"/>
      <c r="AF70" s="67"/>
      <c r="AG70" s="521" t="s">
        <v>723</v>
      </c>
      <c r="AH70" s="539" t="e">
        <f>(AE71/7.5)^AG71</f>
        <v>#VALUE!</v>
      </c>
      <c r="AI70" s="205"/>
    </row>
    <row r="71" spans="1:37" ht="21.75" customHeight="1" thickBot="1">
      <c r="B71" s="337"/>
      <c r="C71" s="338"/>
      <c r="D71" s="338"/>
      <c r="E71" s="589" t="s">
        <v>771</v>
      </c>
      <c r="F71" s="589"/>
      <c r="G71" s="589"/>
      <c r="H71" s="578"/>
      <c r="I71" s="338"/>
      <c r="J71" s="338"/>
      <c r="K71" s="204"/>
      <c r="S71" s="641"/>
      <c r="T71" s="641"/>
      <c r="U71" s="639"/>
      <c r="V71" s="642"/>
      <c r="W71" s="642"/>
      <c r="X71" s="642"/>
      <c r="AD71" s="537" t="s">
        <v>693</v>
      </c>
      <c r="AE71" s="624"/>
      <c r="AF71" s="3"/>
      <c r="AG71" s="534" t="str">
        <f>AE72</f>
        <v/>
      </c>
      <c r="AH71" s="3"/>
      <c r="AI71" s="205"/>
    </row>
    <row r="72" spans="1:37" ht="16.5" thickBot="1">
      <c r="B72" s="50"/>
      <c r="C72" s="3"/>
      <c r="D72" s="3"/>
      <c r="E72" s="3"/>
      <c r="F72" s="3"/>
      <c r="G72" s="3"/>
      <c r="H72" s="3"/>
      <c r="I72" s="3"/>
      <c r="J72" s="3"/>
      <c r="K72" s="205"/>
      <c r="L72" s="1431" t="s">
        <v>794</v>
      </c>
      <c r="M72" s="1432"/>
      <c r="S72" s="641"/>
      <c r="T72" s="641"/>
      <c r="U72" s="639"/>
      <c r="V72" s="642"/>
      <c r="W72" s="642"/>
      <c r="X72" s="642"/>
      <c r="AD72" s="537" t="s">
        <v>724</v>
      </c>
      <c r="AE72" s="535" t="str">
        <f>IF(AE70="","",AH72)</f>
        <v/>
      </c>
      <c r="AF72" s="538" t="s">
        <v>725</v>
      </c>
      <c r="AG72" s="3"/>
      <c r="AH72" s="61" t="str">
        <f>IF(AE71&lt;=7.5,"-3.3","-2.56")</f>
        <v>-3.3</v>
      </c>
      <c r="AI72" s="205"/>
    </row>
    <row r="73" spans="1:37" ht="15.75">
      <c r="B73" s="50"/>
      <c r="C73" s="3"/>
      <c r="D73" s="3"/>
      <c r="E73" s="3"/>
      <c r="F73" s="3"/>
      <c r="G73" s="3"/>
      <c r="H73" s="3"/>
      <c r="I73" s="579" t="s">
        <v>772</v>
      </c>
      <c r="J73" s="3"/>
      <c r="K73" s="205"/>
      <c r="L73" s="1431"/>
      <c r="M73" s="1432"/>
      <c r="S73" s="641"/>
      <c r="T73" s="641"/>
      <c r="U73" s="639"/>
      <c r="V73" s="642"/>
      <c r="W73" s="642"/>
      <c r="X73" s="642"/>
      <c r="AD73" s="540" t="s">
        <v>726</v>
      </c>
      <c r="AE73" s="67"/>
      <c r="AF73" s="67"/>
      <c r="AG73" s="538"/>
      <c r="AH73" s="3"/>
      <c r="AI73" s="205"/>
    </row>
    <row r="74" spans="1:37" ht="15.75">
      <c r="B74" s="50"/>
      <c r="C74" s="3"/>
      <c r="D74" s="3"/>
      <c r="E74" s="3"/>
      <c r="F74" s="3"/>
      <c r="G74" s="3"/>
      <c r="H74" s="3"/>
      <c r="I74" s="3"/>
      <c r="J74" s="3"/>
      <c r="K74" s="205"/>
      <c r="S74" s="641"/>
      <c r="T74" s="641"/>
      <c r="U74" s="640"/>
      <c r="V74" s="643"/>
      <c r="W74" s="643"/>
      <c r="X74" s="643"/>
      <c r="AD74" s="540" t="s">
        <v>727</v>
      </c>
      <c r="AE74" s="3"/>
      <c r="AF74" s="3"/>
      <c r="AG74" s="3"/>
      <c r="AH74" s="3"/>
      <c r="AI74" s="205"/>
    </row>
    <row r="75" spans="1:37" ht="15.75">
      <c r="B75" s="50"/>
      <c r="C75" s="3"/>
      <c r="D75" s="3"/>
      <c r="E75" s="3"/>
      <c r="F75" s="3"/>
      <c r="G75" s="3"/>
      <c r="H75" s="3"/>
      <c r="I75" s="3"/>
      <c r="J75" s="3"/>
      <c r="K75" s="205"/>
      <c r="S75" s="641"/>
      <c r="T75" s="641"/>
      <c r="U75" s="640"/>
      <c r="V75" s="643"/>
      <c r="W75" s="643"/>
      <c r="X75" s="643"/>
      <c r="AD75" s="540" t="s">
        <v>728</v>
      </c>
      <c r="AE75" s="3"/>
      <c r="AF75" s="3"/>
      <c r="AG75" s="3"/>
      <c r="AH75" s="3"/>
      <c r="AI75" s="205"/>
    </row>
    <row r="76" spans="1:37" ht="15.75">
      <c r="B76" s="50"/>
      <c r="C76" s="519"/>
      <c r="D76" s="3"/>
      <c r="E76" s="580"/>
      <c r="F76" s="3"/>
      <c r="G76" s="3"/>
      <c r="H76" s="3"/>
      <c r="I76" s="3"/>
      <c r="J76" s="3"/>
      <c r="K76" s="205"/>
      <c r="S76" s="641"/>
      <c r="T76" s="641"/>
      <c r="U76" s="640"/>
      <c r="V76" s="643"/>
      <c r="W76" s="643"/>
      <c r="X76" s="643"/>
      <c r="AD76" s="537"/>
      <c r="AE76" s="1186"/>
      <c r="AF76" s="1186"/>
      <c r="AG76" s="3"/>
      <c r="AH76" s="3"/>
      <c r="AI76" s="205"/>
    </row>
    <row r="77" spans="1:37" ht="15.75" thickBot="1">
      <c r="B77" s="50"/>
      <c r="C77" s="3"/>
      <c r="D77" s="3"/>
      <c r="E77" s="3"/>
      <c r="F77" s="3"/>
      <c r="G77" s="3"/>
      <c r="H77" s="519"/>
      <c r="I77" s="1094" t="s">
        <v>773</v>
      </c>
      <c r="J77" s="1448"/>
      <c r="K77" s="1095"/>
      <c r="S77" s="3"/>
      <c r="T77" s="3"/>
      <c r="U77" s="3"/>
      <c r="V77" s="3"/>
      <c r="W77" s="3"/>
      <c r="X77" s="3"/>
      <c r="AD77" s="50"/>
      <c r="AE77" s="3"/>
      <c r="AF77" s="3"/>
      <c r="AG77" s="3"/>
      <c r="AH77" s="3"/>
      <c r="AI77" s="205"/>
    </row>
    <row r="78" spans="1:37" ht="16.5" thickBot="1">
      <c r="B78" s="50"/>
      <c r="C78" s="1380" t="s">
        <v>774</v>
      </c>
      <c r="D78" s="1380"/>
      <c r="E78" s="1380"/>
      <c r="F78" s="612"/>
      <c r="G78" s="628" t="s">
        <v>488</v>
      </c>
      <c r="H78" s="3"/>
      <c r="I78" s="588" t="s">
        <v>775</v>
      </c>
      <c r="J78" s="588" t="s">
        <v>776</v>
      </c>
      <c r="K78" s="590" t="s">
        <v>777</v>
      </c>
      <c r="Y78" s="10"/>
      <c r="AD78" s="50"/>
      <c r="AE78" s="3"/>
      <c r="AF78" s="541" t="s">
        <v>729</v>
      </c>
      <c r="AG78" s="536" t="e">
        <f>(0.025*(AE70/100)^2+((4*(1/(250-AE70))-(1/250))))*AH70</f>
        <v>#VALUE!</v>
      </c>
      <c r="AH78" s="3"/>
      <c r="AI78" s="205"/>
    </row>
    <row r="79" spans="1:37">
      <c r="B79" s="50"/>
      <c r="C79" s="1380" t="s">
        <v>662</v>
      </c>
      <c r="D79" s="1380"/>
      <c r="E79" s="1380"/>
      <c r="F79" s="612"/>
      <c r="G79" s="628" t="s">
        <v>488</v>
      </c>
      <c r="H79" s="3"/>
      <c r="I79" s="491">
        <v>0.621</v>
      </c>
      <c r="J79" s="491">
        <v>-1.179</v>
      </c>
      <c r="K79" s="591">
        <v>-8.1000000000000003E-2</v>
      </c>
      <c r="AD79" s="50"/>
      <c r="AE79" s="3"/>
      <c r="AF79" s="60"/>
      <c r="AG79" s="3"/>
      <c r="AH79" s="3"/>
      <c r="AI79" s="205"/>
    </row>
    <row r="80" spans="1:37" ht="15.75" thickBot="1">
      <c r="B80" s="50"/>
      <c r="C80" s="1380" t="s">
        <v>778</v>
      </c>
      <c r="D80" s="1380"/>
      <c r="E80" s="1380"/>
      <c r="F80" s="1381"/>
      <c r="G80" s="1382"/>
      <c r="H80" s="3"/>
      <c r="I80" s="519"/>
      <c r="J80" s="3"/>
      <c r="K80" s="205"/>
      <c r="AD80" s="207"/>
      <c r="AE80" s="208"/>
      <c r="AF80" s="208"/>
      <c r="AG80" s="208"/>
      <c r="AH80" s="625" t="s">
        <v>730</v>
      </c>
      <c r="AI80" s="587"/>
    </row>
    <row r="81" spans="2:11">
      <c r="B81" s="50"/>
      <c r="C81" s="1380" t="s">
        <v>779</v>
      </c>
      <c r="D81" s="1383"/>
      <c r="E81" s="1383"/>
      <c r="F81" s="626"/>
      <c r="G81" s="629" t="s">
        <v>780</v>
      </c>
      <c r="H81" s="3"/>
      <c r="I81" s="572"/>
      <c r="J81" s="89"/>
      <c r="K81" s="645"/>
    </row>
    <row r="82" spans="2:11">
      <c r="B82" s="50"/>
      <c r="C82" s="1380" t="s">
        <v>781</v>
      </c>
      <c r="D82" s="1383"/>
      <c r="E82" s="1383"/>
      <c r="F82" s="627"/>
      <c r="G82" s="630" t="s">
        <v>502</v>
      </c>
      <c r="H82" s="3"/>
      <c r="I82" s="366">
        <f>0.0681*F80-0.17</f>
        <v>-0.17</v>
      </c>
      <c r="J82" s="366">
        <f>((0.0008*F80-0.0031)*F82)+(0.0322*F80-0.0175)</f>
        <v>-1.7500000000000002E-2</v>
      </c>
      <c r="K82" s="645"/>
    </row>
    <row r="83" spans="2:11">
      <c r="B83" s="50"/>
      <c r="C83" s="1380" t="s">
        <v>782</v>
      </c>
      <c r="D83" s="1383"/>
      <c r="E83" s="1383"/>
      <c r="F83" s="626"/>
      <c r="G83" s="631" t="s">
        <v>783</v>
      </c>
      <c r="H83" s="3"/>
      <c r="I83" s="366">
        <f>IF(F82&lt;=40,1,2)</f>
        <v>1</v>
      </c>
      <c r="J83" s="61" t="e">
        <f>((F78/F79)*(3.5/F81)^0.1)*((750/F79)^0.5)</f>
        <v>#DIV/0!</v>
      </c>
      <c r="K83" s="645"/>
    </row>
    <row r="84" spans="2:11">
      <c r="B84" s="50"/>
      <c r="C84" s="1380" t="s">
        <v>784</v>
      </c>
      <c r="D84" s="1383"/>
      <c r="E84" s="1383"/>
      <c r="F84" s="1449" t="e">
        <f>1+(1/(SQRT((1/J83)*(1+(F85/F83))^2 +(1-(F85/F83))^2*(F78/F79))))</f>
        <v>#DIV/0!</v>
      </c>
      <c r="G84" s="1450"/>
      <c r="H84" s="3"/>
      <c r="I84" s="61">
        <f>IF(I83=1,I82,J82)</f>
        <v>-0.17</v>
      </c>
      <c r="J84" s="61"/>
      <c r="K84" s="645"/>
    </row>
    <row r="85" spans="2:11" ht="15.75" thickBot="1">
      <c r="B85" s="50"/>
      <c r="C85" s="1408" t="s">
        <v>785</v>
      </c>
      <c r="D85" s="1383"/>
      <c r="E85" s="1383"/>
      <c r="F85" s="632">
        <f>I84</f>
        <v>-0.17</v>
      </c>
      <c r="G85" s="633" t="s">
        <v>783</v>
      </c>
      <c r="H85" s="3"/>
      <c r="I85" s="88"/>
      <c r="J85" s="88"/>
      <c r="K85" s="645"/>
    </row>
    <row r="86" spans="2:11" ht="19.5" thickBot="1">
      <c r="B86" s="50"/>
      <c r="C86" s="1380" t="s">
        <v>787</v>
      </c>
      <c r="D86" s="1383"/>
      <c r="E86" s="1409"/>
      <c r="F86" s="1446" t="e">
        <f>(10^(((0.621*F80)+(-1.179*(LOG(F82)))+(-0.081*(F78/F79)))))*F84</f>
        <v>#NUM!</v>
      </c>
      <c r="G86" s="1447"/>
      <c r="H86" s="634" t="s">
        <v>786</v>
      </c>
      <c r="I86" s="655"/>
      <c r="J86" s="88"/>
      <c r="K86" s="645"/>
    </row>
    <row r="87" spans="2:11">
      <c r="B87" s="50"/>
      <c r="C87" s="3"/>
      <c r="D87" s="3"/>
      <c r="E87" s="3"/>
      <c r="F87" s="3"/>
      <c r="G87" s="3"/>
      <c r="H87" s="3"/>
      <c r="I87" s="88"/>
      <c r="J87" s="88"/>
      <c r="K87" s="645"/>
    </row>
    <row r="88" spans="2:11" ht="15.75" thickBot="1">
      <c r="B88" s="207"/>
      <c r="C88" s="208"/>
      <c r="D88" s="208"/>
      <c r="E88" s="208"/>
      <c r="F88" s="208"/>
      <c r="G88" s="208"/>
      <c r="H88" s="208"/>
      <c r="I88" s="208"/>
      <c r="J88" s="208"/>
      <c r="K88" s="206"/>
    </row>
    <row r="150" spans="1:9" s="151" customFormat="1"/>
    <row r="151" spans="1:9" s="151" customFormat="1" ht="15.75" thickBot="1"/>
    <row r="152" spans="1:9" s="151" customFormat="1" ht="15.75" thickBot="1">
      <c r="A152" s="1479" t="s">
        <v>484</v>
      </c>
      <c r="B152" s="1480"/>
      <c r="C152" s="1481"/>
      <c r="D152" s="303"/>
      <c r="F152" s="151">
        <v>1</v>
      </c>
      <c r="G152" s="304">
        <f>V13</f>
        <v>0.27200000000000002</v>
      </c>
      <c r="H152" s="151">
        <v>1</v>
      </c>
    </row>
    <row r="153" spans="1:9" s="151" customFormat="1">
      <c r="E153" s="304" t="s">
        <v>490</v>
      </c>
      <c r="G153" s="304" t="s">
        <v>490</v>
      </c>
    </row>
    <row r="154" spans="1:9" s="151" customFormat="1">
      <c r="E154" s="304" t="s">
        <v>492</v>
      </c>
      <c r="G154" s="304" t="s">
        <v>492</v>
      </c>
      <c r="I154" s="151">
        <v>0.4</v>
      </c>
    </row>
    <row r="155" spans="1:9" s="151" customFormat="1">
      <c r="E155" s="151" t="s">
        <v>493</v>
      </c>
      <c r="G155" s="151" t="s">
        <v>493</v>
      </c>
      <c r="I155" s="151">
        <v>0.3</v>
      </c>
    </row>
    <row r="156" spans="1:9" s="151" customFormat="1">
      <c r="E156" s="151" t="s">
        <v>494</v>
      </c>
      <c r="G156" s="151" t="s">
        <v>494</v>
      </c>
      <c r="I156" s="151">
        <v>0.2</v>
      </c>
    </row>
    <row r="157" spans="1:9" s="151" customFormat="1">
      <c r="E157" s="304" t="s">
        <v>495</v>
      </c>
      <c r="G157" s="304" t="s">
        <v>495</v>
      </c>
      <c r="I157" s="151">
        <v>0.1</v>
      </c>
    </row>
    <row r="158" spans="1:9" s="151" customFormat="1"/>
  </sheetData>
  <sheetProtection password="EF3A" sheet="1" objects="1" scenarios="1"/>
  <mergeCells count="264">
    <mergeCell ref="AM7:AN7"/>
    <mergeCell ref="AO7:AP7"/>
    <mergeCell ref="AK8:AL8"/>
    <mergeCell ref="AM8:AN8"/>
    <mergeCell ref="AO8:AP8"/>
    <mergeCell ref="AD10:AE10"/>
    <mergeCell ref="AK10:AL10"/>
    <mergeCell ref="AD11:AE11"/>
    <mergeCell ref="AD38:AM38"/>
    <mergeCell ref="AD12:AE12"/>
    <mergeCell ref="AF12:AG12"/>
    <mergeCell ref="AC13:AE13"/>
    <mergeCell ref="AF13:AG13"/>
    <mergeCell ref="AC14:AE14"/>
    <mergeCell ref="AC15:AE15"/>
    <mergeCell ref="AC16:AE16"/>
    <mergeCell ref="AF19:AI19"/>
    <mergeCell ref="AK7:AL7"/>
    <mergeCell ref="AP10:AQ10"/>
    <mergeCell ref="AP11:AQ11"/>
    <mergeCell ref="AD22:AI22"/>
    <mergeCell ref="AD23:AI23"/>
    <mergeCell ref="AE29:AF29"/>
    <mergeCell ref="AG29:AH29"/>
    <mergeCell ref="S46:Y46"/>
    <mergeCell ref="X54:Y54"/>
    <mergeCell ref="AE60:AF60"/>
    <mergeCell ref="AG60:AI60"/>
    <mergeCell ref="T36:Y36"/>
    <mergeCell ref="W38:Y39"/>
    <mergeCell ref="W42:Y42"/>
    <mergeCell ref="V41:V42"/>
    <mergeCell ref="W41:Y41"/>
    <mergeCell ref="AE58:AF58"/>
    <mergeCell ref="S57:T58"/>
    <mergeCell ref="U59:V59"/>
    <mergeCell ref="V48:X48"/>
    <mergeCell ref="V49:X49"/>
    <mergeCell ref="V50:X50"/>
    <mergeCell ref="V51:X51"/>
    <mergeCell ref="V52:X52"/>
    <mergeCell ref="V53:X53"/>
    <mergeCell ref="U60:V60"/>
    <mergeCell ref="U57:U58"/>
    <mergeCell ref="V57:V58"/>
    <mergeCell ref="S56:V56"/>
    <mergeCell ref="G3:H3"/>
    <mergeCell ref="B5:H5"/>
    <mergeCell ref="A152:C152"/>
    <mergeCell ref="C10:D10"/>
    <mergeCell ref="E10:F10"/>
    <mergeCell ref="C11:D11"/>
    <mergeCell ref="E11:F11"/>
    <mergeCell ref="C19:D19"/>
    <mergeCell ref="E19:F19"/>
    <mergeCell ref="C20:D20"/>
    <mergeCell ref="E20:F20"/>
    <mergeCell ref="C21:D21"/>
    <mergeCell ref="E21:F21"/>
    <mergeCell ref="C22:D22"/>
    <mergeCell ref="E22:F22"/>
    <mergeCell ref="C29:D29"/>
    <mergeCell ref="E29:F29"/>
    <mergeCell ref="C30:D30"/>
    <mergeCell ref="C28:D28"/>
    <mergeCell ref="B15:H15"/>
    <mergeCell ref="C17:D17"/>
    <mergeCell ref="E17:F17"/>
    <mergeCell ref="C37:D37"/>
    <mergeCell ref="F37:H37"/>
    <mergeCell ref="E30:F30"/>
    <mergeCell ref="C31:D31"/>
    <mergeCell ref="E31:F31"/>
    <mergeCell ref="C32:D32"/>
    <mergeCell ref="E32:F32"/>
    <mergeCell ref="G32:H32"/>
    <mergeCell ref="K28:L28"/>
    <mergeCell ref="M28:N28"/>
    <mergeCell ref="J5:P5"/>
    <mergeCell ref="K7:L7"/>
    <mergeCell ref="M7:N7"/>
    <mergeCell ref="K8:L8"/>
    <mergeCell ref="M8:N8"/>
    <mergeCell ref="K9:L9"/>
    <mergeCell ref="M9:N9"/>
    <mergeCell ref="K10:L10"/>
    <mergeCell ref="M10:N10"/>
    <mergeCell ref="C8:D8"/>
    <mergeCell ref="E8:F8"/>
    <mergeCell ref="E7:F7"/>
    <mergeCell ref="C7:D7"/>
    <mergeCell ref="C9:D9"/>
    <mergeCell ref="E9:F9"/>
    <mergeCell ref="C12:D12"/>
    <mergeCell ref="G22:H22"/>
    <mergeCell ref="B25:H25"/>
    <mergeCell ref="C27:D27"/>
    <mergeCell ref="E27:F27"/>
    <mergeCell ref="K11:L11"/>
    <mergeCell ref="M11:N11"/>
    <mergeCell ref="K12:L12"/>
    <mergeCell ref="M12:N12"/>
    <mergeCell ref="J15:P15"/>
    <mergeCell ref="K17:L17"/>
    <mergeCell ref="M17:N17"/>
    <mergeCell ref="C18:D18"/>
    <mergeCell ref="E18:F18"/>
    <mergeCell ref="G12:H12"/>
    <mergeCell ref="O12:P12"/>
    <mergeCell ref="E12:F12"/>
    <mergeCell ref="K32:L32"/>
    <mergeCell ref="M32:N32"/>
    <mergeCell ref="T13:U13"/>
    <mergeCell ref="V13:W13"/>
    <mergeCell ref="K30:L30"/>
    <mergeCell ref="M30:N30"/>
    <mergeCell ref="K31:L31"/>
    <mergeCell ref="M31:N31"/>
    <mergeCell ref="O22:P22"/>
    <mergeCell ref="J25:P25"/>
    <mergeCell ref="K27:L27"/>
    <mergeCell ref="M27:N27"/>
    <mergeCell ref="K18:L18"/>
    <mergeCell ref="M18:N18"/>
    <mergeCell ref="K21:L21"/>
    <mergeCell ref="M21:N21"/>
    <mergeCell ref="K22:L22"/>
    <mergeCell ref="M22:N22"/>
    <mergeCell ref="K19:L19"/>
    <mergeCell ref="M19:N19"/>
    <mergeCell ref="V24:Y25"/>
    <mergeCell ref="O32:P32"/>
    <mergeCell ref="C2:D2"/>
    <mergeCell ref="F2:H2"/>
    <mergeCell ref="T30:Y30"/>
    <mergeCell ref="V31:W31"/>
    <mergeCell ref="V12:W12"/>
    <mergeCell ref="S5:Y5"/>
    <mergeCell ref="T7:U7"/>
    <mergeCell ref="V7:W7"/>
    <mergeCell ref="T8:U8"/>
    <mergeCell ref="V8:W8"/>
    <mergeCell ref="X9:Y9"/>
    <mergeCell ref="K20:L20"/>
    <mergeCell ref="M20:N20"/>
    <mergeCell ref="T9:U9"/>
    <mergeCell ref="V9:W9"/>
    <mergeCell ref="T10:U10"/>
    <mergeCell ref="V10:W10"/>
    <mergeCell ref="T11:U11"/>
    <mergeCell ref="V11:W11"/>
    <mergeCell ref="E28:F28"/>
    <mergeCell ref="X12:Y12"/>
    <mergeCell ref="T12:U12"/>
    <mergeCell ref="K29:L29"/>
    <mergeCell ref="M29:N29"/>
    <mergeCell ref="J40:P40"/>
    <mergeCell ref="C42:D42"/>
    <mergeCell ref="E42:F42"/>
    <mergeCell ref="K42:L42"/>
    <mergeCell ref="M42:N42"/>
    <mergeCell ref="J37:P37"/>
    <mergeCell ref="C43:D43"/>
    <mergeCell ref="E43:F43"/>
    <mergeCell ref="K43:L43"/>
    <mergeCell ref="M43:N43"/>
    <mergeCell ref="G38:H38"/>
    <mergeCell ref="B40:H40"/>
    <mergeCell ref="C44:D44"/>
    <mergeCell ref="E44:F44"/>
    <mergeCell ref="K44:L44"/>
    <mergeCell ref="M44:N44"/>
    <mergeCell ref="C45:D45"/>
    <mergeCell ref="E45:F45"/>
    <mergeCell ref="K45:L45"/>
    <mergeCell ref="M45:N45"/>
    <mergeCell ref="C46:D46"/>
    <mergeCell ref="E46:F46"/>
    <mergeCell ref="K46:L46"/>
    <mergeCell ref="M46:N46"/>
    <mergeCell ref="C47:D47"/>
    <mergeCell ref="E47:F47"/>
    <mergeCell ref="G47:H47"/>
    <mergeCell ref="K47:L47"/>
    <mergeCell ref="M47:N47"/>
    <mergeCell ref="O47:P47"/>
    <mergeCell ref="B50:H50"/>
    <mergeCell ref="J50:P50"/>
    <mergeCell ref="C52:D52"/>
    <mergeCell ref="E52:F52"/>
    <mergeCell ref="K52:L52"/>
    <mergeCell ref="M52:N52"/>
    <mergeCell ref="C53:D53"/>
    <mergeCell ref="E53:F53"/>
    <mergeCell ref="K53:L53"/>
    <mergeCell ref="M53:N53"/>
    <mergeCell ref="O67:P67"/>
    <mergeCell ref="C66:D66"/>
    <mergeCell ref="E66:F66"/>
    <mergeCell ref="K66:L66"/>
    <mergeCell ref="M66:N66"/>
    <mergeCell ref="C67:D67"/>
    <mergeCell ref="E67:F67"/>
    <mergeCell ref="G67:H67"/>
    <mergeCell ref="C54:D54"/>
    <mergeCell ref="E54:F54"/>
    <mergeCell ref="K54:L54"/>
    <mergeCell ref="M54:N54"/>
    <mergeCell ref="C55:D55"/>
    <mergeCell ref="E55:F55"/>
    <mergeCell ref="K55:L55"/>
    <mergeCell ref="M55:N55"/>
    <mergeCell ref="C56:D56"/>
    <mergeCell ref="E56:F56"/>
    <mergeCell ref="K56:L56"/>
    <mergeCell ref="M56:N56"/>
    <mergeCell ref="E57:F57"/>
    <mergeCell ref="G57:H57"/>
    <mergeCell ref="K57:L57"/>
    <mergeCell ref="M57:N57"/>
    <mergeCell ref="O57:P57"/>
    <mergeCell ref="B60:H60"/>
    <mergeCell ref="J60:P60"/>
    <mergeCell ref="C62:D62"/>
    <mergeCell ref="E62:F62"/>
    <mergeCell ref="K62:L62"/>
    <mergeCell ref="M62:N62"/>
    <mergeCell ref="C57:D57"/>
    <mergeCell ref="C86:E86"/>
    <mergeCell ref="F86:G86"/>
    <mergeCell ref="I77:K77"/>
    <mergeCell ref="C78:E78"/>
    <mergeCell ref="C79:E79"/>
    <mergeCell ref="C80:E80"/>
    <mergeCell ref="F80:G80"/>
    <mergeCell ref="C81:E81"/>
    <mergeCell ref="C82:E82"/>
    <mergeCell ref="C83:E83"/>
    <mergeCell ref="C84:E84"/>
    <mergeCell ref="F84:G84"/>
    <mergeCell ref="AJ67:AK68"/>
    <mergeCell ref="AK23:AL24"/>
    <mergeCell ref="S24:T25"/>
    <mergeCell ref="L72:M73"/>
    <mergeCell ref="AE30:AF30"/>
    <mergeCell ref="AG30:AH30"/>
    <mergeCell ref="S65:U65"/>
    <mergeCell ref="AE66:AH66"/>
    <mergeCell ref="C85:E85"/>
    <mergeCell ref="AE76:AF76"/>
    <mergeCell ref="C63:D63"/>
    <mergeCell ref="E63:F63"/>
    <mergeCell ref="K63:L63"/>
    <mergeCell ref="M63:N63"/>
    <mergeCell ref="C64:D64"/>
    <mergeCell ref="E64:F64"/>
    <mergeCell ref="K64:L64"/>
    <mergeCell ref="M64:N64"/>
    <mergeCell ref="C65:D65"/>
    <mergeCell ref="E65:F65"/>
    <mergeCell ref="K65:L65"/>
    <mergeCell ref="M65:N65"/>
    <mergeCell ref="K67:L67"/>
    <mergeCell ref="M67:N67"/>
  </mergeCells>
  <conditionalFormatting sqref="E7:F12">
    <cfRule type="cellIs" dxfId="213" priority="146" operator="equal">
      <formula>0</formula>
    </cfRule>
  </conditionalFormatting>
  <conditionalFormatting sqref="E10:F12">
    <cfRule type="containsErrors" dxfId="212" priority="145">
      <formula>ISERROR(E10)</formula>
    </cfRule>
  </conditionalFormatting>
  <conditionalFormatting sqref="E12:F12">
    <cfRule type="cellIs" dxfId="211" priority="161" operator="greaterThan">
      <formula>1</formula>
    </cfRule>
    <cfRule type="cellIs" dxfId="210" priority="149" operator="lessThan">
      <formula>1</formula>
    </cfRule>
  </conditionalFormatting>
  <conditionalFormatting sqref="E17:F47">
    <cfRule type="cellIs" dxfId="209" priority="95" operator="equal">
      <formula>0</formula>
    </cfRule>
  </conditionalFormatting>
  <conditionalFormatting sqref="E20:F22">
    <cfRule type="containsErrors" dxfId="208" priority="142">
      <formula>ISERROR(E20)</formula>
    </cfRule>
  </conditionalFormatting>
  <conditionalFormatting sqref="E22:F22">
    <cfRule type="cellIs" dxfId="207" priority="150" operator="lessThan">
      <formula>1</formula>
    </cfRule>
    <cfRule type="cellIs" dxfId="206" priority="160" operator="greaterThan">
      <formula>1</formula>
    </cfRule>
  </conditionalFormatting>
  <conditionalFormatting sqref="E30:F32">
    <cfRule type="containsErrors" dxfId="205" priority="139">
      <formula>ISERROR(E30)</formula>
    </cfRule>
  </conditionalFormatting>
  <conditionalFormatting sqref="E32:F32">
    <cfRule type="cellIs" dxfId="204" priority="159" operator="greaterThan">
      <formula>1</formula>
    </cfRule>
    <cfRule type="cellIs" dxfId="203" priority="151" operator="lessThan">
      <formula>1</formula>
    </cfRule>
  </conditionalFormatting>
  <conditionalFormatting sqref="E45:F47">
    <cfRule type="containsErrors" dxfId="202" priority="94">
      <formula>ISERROR(E45)</formula>
    </cfRule>
  </conditionalFormatting>
  <conditionalFormatting sqref="E47:F47">
    <cfRule type="cellIs" dxfId="201" priority="108" operator="greaterThan">
      <formula>1</formula>
    </cfRule>
    <cfRule type="cellIs" dxfId="200" priority="96" operator="lessThan">
      <formula>1</formula>
    </cfRule>
  </conditionalFormatting>
  <conditionalFormatting sqref="E52:F54">
    <cfRule type="cellIs" dxfId="199" priority="77" operator="equal">
      <formula>0</formula>
    </cfRule>
  </conditionalFormatting>
  <conditionalFormatting sqref="E55:F57">
    <cfRule type="containsErrors" dxfId="198" priority="91">
      <formula>ISERROR(E55)</formula>
    </cfRule>
  </conditionalFormatting>
  <conditionalFormatting sqref="E57:F57">
    <cfRule type="cellIs" dxfId="197" priority="97" operator="lessThan">
      <formula>1</formula>
    </cfRule>
    <cfRule type="cellIs" dxfId="196" priority="107" operator="greaterThan">
      <formula>1</formula>
    </cfRule>
  </conditionalFormatting>
  <conditionalFormatting sqref="E62:F64">
    <cfRule type="cellIs" dxfId="195" priority="76" operator="equal">
      <formula>0</formula>
    </cfRule>
  </conditionalFormatting>
  <conditionalFormatting sqref="E65:F67">
    <cfRule type="containsErrors" dxfId="194" priority="88">
      <formula>ISERROR(E65)</formula>
    </cfRule>
  </conditionalFormatting>
  <conditionalFormatting sqref="E67:F67">
    <cfRule type="cellIs" dxfId="193" priority="98" operator="lessThan">
      <formula>1</formula>
    </cfRule>
    <cfRule type="cellIs" dxfId="192" priority="106" operator="greaterThan">
      <formula>1</formula>
    </cfRule>
  </conditionalFormatting>
  <conditionalFormatting sqref="F78:F79">
    <cfRule type="notContainsBlanks" dxfId="191" priority="22">
      <formula>LEN(TRIM(F78))&gt;0</formula>
    </cfRule>
  </conditionalFormatting>
  <conditionalFormatting sqref="F81:F83">
    <cfRule type="notContainsBlanks" dxfId="190" priority="21">
      <formula>LEN(TRIM(F81))&gt;0</formula>
    </cfRule>
  </conditionalFormatting>
  <conditionalFormatting sqref="F85">
    <cfRule type="cellIs" dxfId="189" priority="1" operator="equal">
      <formula>-0.17</formula>
    </cfRule>
  </conditionalFormatting>
  <conditionalFormatting sqref="F80:G80">
    <cfRule type="notContainsBlanks" dxfId="188" priority="20">
      <formula>LEN(TRIM(F80))&gt;0</formula>
    </cfRule>
  </conditionalFormatting>
  <conditionalFormatting sqref="F84:G84">
    <cfRule type="containsErrors" dxfId="187" priority="195">
      <formula>ISERROR(F84)</formula>
    </cfRule>
  </conditionalFormatting>
  <conditionalFormatting sqref="F86:G86">
    <cfRule type="containsErrors" dxfId="186" priority="196">
      <formula>ISERROR(F86)</formula>
    </cfRule>
  </conditionalFormatting>
  <conditionalFormatting sqref="G12:H12">
    <cfRule type="containsErrors" dxfId="185" priority="144">
      <formula>ISERROR(G12)</formula>
    </cfRule>
    <cfRule type="containsText" dxfId="184" priority="178" operator="containsText" text="Sıvılaşma Yok">
      <formula>NOT(ISERROR(SEARCH("Sıvılaşma Yok",G12)))</formula>
    </cfRule>
    <cfRule type="containsText" dxfId="183" priority="179" operator="containsText" text="sıvılaşabilir">
      <formula>NOT(ISERROR(SEARCH("sıvılaşabilir",G12)))</formula>
    </cfRule>
  </conditionalFormatting>
  <conditionalFormatting sqref="G22:H22">
    <cfRule type="containsErrors" dxfId="182" priority="141">
      <formula>ISERROR(G22)</formula>
    </cfRule>
    <cfRule type="containsText" dxfId="181" priority="176" operator="containsText" text="Sıvılaşma Yok">
      <formula>NOT(ISERROR(SEARCH("Sıvılaşma Yok",G22)))</formula>
    </cfRule>
    <cfRule type="containsText" dxfId="180" priority="177" operator="containsText" text="sıvılaşabilir">
      <formula>NOT(ISERROR(SEARCH("sıvılaşabilir",G22)))</formula>
    </cfRule>
  </conditionalFormatting>
  <conditionalFormatting sqref="G32:H32">
    <cfRule type="containsText" dxfId="179" priority="174" operator="containsText" text="Sıvılaşma Yok">
      <formula>NOT(ISERROR(SEARCH("Sıvılaşma Yok",G32)))</formula>
    </cfRule>
    <cfRule type="containsText" dxfId="178" priority="175" operator="containsText" text="sıvılaşabilir">
      <formula>NOT(ISERROR(SEARCH("sıvılaşabilir",G32)))</formula>
    </cfRule>
    <cfRule type="containsErrors" dxfId="177" priority="138">
      <formula>ISERROR(G32)</formula>
    </cfRule>
  </conditionalFormatting>
  <conditionalFormatting sqref="G47:H47">
    <cfRule type="containsErrors" dxfId="176" priority="93">
      <formula>ISERROR(G47)</formula>
    </cfRule>
    <cfRule type="containsText" dxfId="175" priority="119" operator="containsText" text="Sıvılaşma Yok">
      <formula>NOT(ISERROR(SEARCH("Sıvılaşma Yok",G47)))</formula>
    </cfRule>
    <cfRule type="expression" dxfId="174" priority="64">
      <formula>$E$47=0</formula>
    </cfRule>
    <cfRule type="containsText" dxfId="173" priority="120" operator="containsText" text="sıvılaşabilir">
      <formula>NOT(ISERROR(SEARCH("sıvılaşabilir",G47)))</formula>
    </cfRule>
  </conditionalFormatting>
  <conditionalFormatting sqref="G57:H57">
    <cfRule type="containsText" dxfId="172" priority="117" operator="containsText" text="Sıvılaşma Yok">
      <formula>NOT(ISERROR(SEARCH("Sıvılaşma Yok",G57)))</formula>
    </cfRule>
    <cfRule type="containsErrors" dxfId="171" priority="90">
      <formula>ISERROR(G57)</formula>
    </cfRule>
    <cfRule type="containsText" dxfId="170" priority="118" operator="containsText" text="sıvılaşabilir">
      <formula>NOT(ISERROR(SEARCH("sıvılaşabilir",G57)))</formula>
    </cfRule>
  </conditionalFormatting>
  <conditionalFormatting sqref="G67:H67">
    <cfRule type="containsText" dxfId="169" priority="115" operator="containsText" text="Sıvılaşma Yok">
      <formula>NOT(ISERROR(SEARCH("Sıvılaşma Yok",G67)))</formula>
    </cfRule>
    <cfRule type="containsErrors" dxfId="168" priority="87">
      <formula>ISERROR(G67)</formula>
    </cfRule>
    <cfRule type="containsText" dxfId="167" priority="116" operator="containsText" text="sıvılaşabilir">
      <formula>NOT(ISERROR(SEARCH("sıvılaşabilir",G67)))</formula>
    </cfRule>
  </conditionalFormatting>
  <conditionalFormatting sqref="M7:N44">
    <cfRule type="cellIs" dxfId="166" priority="75" operator="equal">
      <formula>0</formula>
    </cfRule>
  </conditionalFormatting>
  <conditionalFormatting sqref="M10:N12">
    <cfRule type="containsErrors" dxfId="165" priority="136">
      <formula>ISERROR(M10)</formula>
    </cfRule>
  </conditionalFormatting>
  <conditionalFormatting sqref="M12:N12">
    <cfRule type="cellIs" dxfId="164" priority="158" operator="greaterThan">
      <formula>1</formula>
    </cfRule>
    <cfRule type="cellIs" dxfId="163" priority="152" operator="lessThan">
      <formula>1</formula>
    </cfRule>
  </conditionalFormatting>
  <conditionalFormatting sqref="M20:N22">
    <cfRule type="containsErrors" dxfId="162" priority="133">
      <formula>ISERROR(M20)</formula>
    </cfRule>
  </conditionalFormatting>
  <conditionalFormatting sqref="M22:N22">
    <cfRule type="cellIs" dxfId="161" priority="157" operator="greaterThan">
      <formula>1</formula>
    </cfRule>
    <cfRule type="cellIs" dxfId="160" priority="154" operator="lessThan">
      <formula>1</formula>
    </cfRule>
  </conditionalFormatting>
  <conditionalFormatting sqref="M30:N32">
    <cfRule type="containsErrors" dxfId="159" priority="130">
      <formula>ISERROR(M30)</formula>
    </cfRule>
  </conditionalFormatting>
  <conditionalFormatting sqref="M32:N32">
    <cfRule type="cellIs" dxfId="158" priority="153" operator="lessThan">
      <formula>1</formula>
    </cfRule>
    <cfRule type="cellIs" dxfId="157" priority="155" operator="greaterThan">
      <formula>1</formula>
    </cfRule>
    <cfRule type="cellIs" dxfId="156" priority="156" operator="greaterThan">
      <formula>1</formula>
    </cfRule>
  </conditionalFormatting>
  <conditionalFormatting sqref="M45:N47">
    <cfRule type="containsErrors" dxfId="155" priority="85">
      <formula>ISERROR(M45)</formula>
    </cfRule>
  </conditionalFormatting>
  <conditionalFormatting sqref="M47:N47">
    <cfRule type="cellIs" dxfId="154" priority="99" operator="lessThan">
      <formula>1</formula>
    </cfRule>
    <cfRule type="cellIs" dxfId="153" priority="105" operator="greaterThan">
      <formula>1</formula>
    </cfRule>
  </conditionalFormatting>
  <conditionalFormatting sqref="M52:N54">
    <cfRule type="cellIs" dxfId="152" priority="74" operator="equal">
      <formula>0</formula>
    </cfRule>
  </conditionalFormatting>
  <conditionalFormatting sqref="M55:N57">
    <cfRule type="containsErrors" dxfId="151" priority="47">
      <formula>ISERROR(M55)</formula>
    </cfRule>
  </conditionalFormatting>
  <conditionalFormatting sqref="M57:N57">
    <cfRule type="cellIs" dxfId="150" priority="49" operator="greaterThan">
      <formula>1</formula>
    </cfRule>
    <cfRule type="cellIs" dxfId="149" priority="48" operator="lessThan">
      <formula>1</formula>
    </cfRule>
  </conditionalFormatting>
  <conditionalFormatting sqref="M62:N64">
    <cfRule type="cellIs" dxfId="148" priority="73" operator="equal">
      <formula>0</formula>
    </cfRule>
  </conditionalFormatting>
  <conditionalFormatting sqref="M65:N67">
    <cfRule type="containsErrors" dxfId="147" priority="79">
      <formula>ISERROR(M65)</formula>
    </cfRule>
  </conditionalFormatting>
  <conditionalFormatting sqref="M67:N67">
    <cfRule type="cellIs" dxfId="146" priority="102" operator="greaterThan">
      <formula>1</formula>
    </cfRule>
    <cfRule type="cellIs" dxfId="145" priority="103" operator="greaterThan">
      <formula>1</formula>
    </cfRule>
    <cfRule type="cellIs" dxfId="144" priority="100" operator="lessThan">
      <formula>1</formula>
    </cfRule>
  </conditionalFormatting>
  <conditionalFormatting sqref="O12:P12">
    <cfRule type="containsText" dxfId="143" priority="172" operator="containsText" text="Sıvılaşma Yok">
      <formula>NOT(ISERROR(SEARCH("Sıvılaşma Yok",O12)))</formula>
    </cfRule>
    <cfRule type="containsText" dxfId="142" priority="173" operator="containsText" text="sıvılaşabilir">
      <formula>NOT(ISERROR(SEARCH("sıvılaşabilir",O12)))</formula>
    </cfRule>
    <cfRule type="containsErrors" dxfId="141" priority="135">
      <formula>ISERROR(O12)</formula>
    </cfRule>
  </conditionalFormatting>
  <conditionalFormatting sqref="O22:P22">
    <cfRule type="containsText" dxfId="140" priority="171" operator="containsText" text="sıvılaşabilir">
      <formula>NOT(ISERROR(SEARCH("sıvılaşabilir",O22)))</formula>
    </cfRule>
    <cfRule type="containsErrors" dxfId="139" priority="132">
      <formula>ISERROR(O22)</formula>
    </cfRule>
    <cfRule type="containsText" dxfId="138" priority="170" operator="containsText" text="Sıvılaşma Yok">
      <formula>NOT(ISERROR(SEARCH("Sıvılaşma Yok",O22)))</formula>
    </cfRule>
  </conditionalFormatting>
  <conditionalFormatting sqref="O32:P32">
    <cfRule type="containsText" dxfId="137" priority="168" operator="containsText" text="Sıvılaşma Yok">
      <formula>NOT(ISERROR(SEARCH("Sıvılaşma Yok",O32)))</formula>
    </cfRule>
    <cfRule type="containsErrors" dxfId="136" priority="129">
      <formula>ISERROR(O32)</formula>
    </cfRule>
    <cfRule type="containsText" dxfId="135" priority="169" operator="containsText" text="sıvılaşabilir">
      <formula>NOT(ISERROR(SEARCH("sıvılaşabilir",O32)))</formula>
    </cfRule>
  </conditionalFormatting>
  <conditionalFormatting sqref="O47:P47">
    <cfRule type="containsErrors" dxfId="134" priority="84">
      <formula>ISERROR(O47)</formula>
    </cfRule>
    <cfRule type="containsText" dxfId="133" priority="114" operator="containsText" text="sıvılaşabilir">
      <formula>NOT(ISERROR(SEARCH("sıvılaşabilir",O47)))</formula>
    </cfRule>
    <cfRule type="containsText" dxfId="132" priority="113" operator="containsText" text="Sıvılaşma Yok">
      <formula>NOT(ISERROR(SEARCH("Sıvılaşma Yok",O47)))</formula>
    </cfRule>
  </conditionalFormatting>
  <conditionalFormatting sqref="O57:P57">
    <cfRule type="containsErrors" dxfId="131" priority="81">
      <formula>ISERROR(O57)</formula>
    </cfRule>
    <cfRule type="containsText" dxfId="130" priority="112" operator="containsText" text="sıvılaşabilir">
      <formula>NOT(ISERROR(SEARCH("sıvılaşabilir",O57)))</formula>
    </cfRule>
    <cfRule type="containsText" dxfId="129" priority="111" operator="containsText" text="Sıvılaşma Yok">
      <formula>NOT(ISERROR(SEARCH("Sıvılaşma Yok",O57)))</formula>
    </cfRule>
  </conditionalFormatting>
  <conditionalFormatting sqref="O67:P67">
    <cfRule type="containsErrors" dxfId="128" priority="78">
      <formula>ISERROR(O67)</formula>
    </cfRule>
    <cfRule type="containsText" dxfId="127" priority="110" operator="containsText" text="sıvılaşabilir">
      <formula>NOT(ISERROR(SEARCH("sıvılaşabilir",O67)))</formula>
    </cfRule>
    <cfRule type="containsText" dxfId="126" priority="109" operator="containsText" text="Sıvılaşma Yok">
      <formula>NOT(ISERROR(SEARCH("Sıvılaşma Yok",O67)))</formula>
    </cfRule>
  </conditionalFormatting>
  <conditionalFormatting sqref="T27">
    <cfRule type="containsErrors" dxfId="125" priority="123">
      <formula>ISERROR(T27)</formula>
    </cfRule>
  </conditionalFormatting>
  <conditionalFormatting sqref="U71:U76">
    <cfRule type="expression" dxfId="124" priority="5">
      <formula>"EĞER+$U$69:$U$70;"""""</formula>
    </cfRule>
  </conditionalFormatting>
  <conditionalFormatting sqref="U59:V60">
    <cfRule type="cellIs" dxfId="123" priority="8" operator="equal">
      <formula>0</formula>
    </cfRule>
    <cfRule type="containsErrors" dxfId="122" priority="7">
      <formula>ISERROR(U59)</formula>
    </cfRule>
  </conditionalFormatting>
  <conditionalFormatting sqref="U48:X53">
    <cfRule type="containsErrors" dxfId="121" priority="68">
      <formula>ISERROR(U48)</formula>
    </cfRule>
  </conditionalFormatting>
  <conditionalFormatting sqref="U41:Y42">
    <cfRule type="containsErrors" dxfId="120" priority="181">
      <formula>ISERROR(U41)</formula>
    </cfRule>
  </conditionalFormatting>
  <conditionalFormatting sqref="V66">
    <cfRule type="containsErrors" dxfId="119" priority="194">
      <formula>ISERROR(V66)</formula>
    </cfRule>
  </conditionalFormatting>
  <conditionalFormatting sqref="V9:W9">
    <cfRule type="cellIs" dxfId="118" priority="70" operator="equal">
      <formula>0</formula>
    </cfRule>
  </conditionalFormatting>
  <conditionalFormatting sqref="V9:W12">
    <cfRule type="containsErrors" dxfId="117" priority="72">
      <formula>ISERROR(V9)</formula>
    </cfRule>
    <cfRule type="cellIs" dxfId="116" priority="71" operator="equal">
      <formula>"0,00"</formula>
    </cfRule>
  </conditionalFormatting>
  <conditionalFormatting sqref="V12:W12">
    <cfRule type="cellIs" dxfId="115" priority="148" operator="greaterThan">
      <formula>1</formula>
    </cfRule>
    <cfRule type="cellIs" dxfId="114" priority="147" operator="lessThan">
      <formula>1</formula>
    </cfRule>
  </conditionalFormatting>
  <conditionalFormatting sqref="W70">
    <cfRule type="cellIs" dxfId="113" priority="41" operator="equal">
      <formula>"0,0"</formula>
    </cfRule>
    <cfRule type="cellIs" dxfId="112" priority="40" operator="equal">
      <formula>0</formula>
    </cfRule>
  </conditionalFormatting>
  <conditionalFormatting sqref="X26">
    <cfRule type="notContainsBlanks" dxfId="111" priority="28">
      <formula>LEN(TRIM(X26))&gt;0</formula>
    </cfRule>
  </conditionalFormatting>
  <conditionalFormatting sqref="X27">
    <cfRule type="containsErrors" dxfId="110" priority="122">
      <formula>ISERROR(X27)</formula>
    </cfRule>
    <cfRule type="containsErrors" dxfId="109" priority="12">
      <formula>ISERROR(X27)</formula>
    </cfRule>
  </conditionalFormatting>
  <conditionalFormatting sqref="X31">
    <cfRule type="cellIs" dxfId="108" priority="121" operator="lessThan">
      <formula>0</formula>
    </cfRule>
    <cfRule type="containsErrors" dxfId="107" priority="193">
      <formula>ISERROR(X31)</formula>
    </cfRule>
  </conditionalFormatting>
  <conditionalFormatting sqref="X12:Y12">
    <cfRule type="containsErrors" dxfId="106" priority="69">
      <formula>ISERROR(X12)</formula>
    </cfRule>
    <cfRule type="containsText" dxfId="105" priority="166" operator="containsText" text="Sıvılaşma Yok">
      <formula>NOT(ISERROR(SEARCH("Sıvılaşma Yok",X12)))</formula>
    </cfRule>
    <cfRule type="containsText" dxfId="104" priority="167" operator="containsText" text="sıvılaşabilir">
      <formula>NOT(ISERROR(SEARCH("sıvılaşabilir",X12)))</formula>
    </cfRule>
  </conditionalFormatting>
  <conditionalFormatting sqref="Y70">
    <cfRule type="cellIs" dxfId="103" priority="42" operator="equal">
      <formula>0</formula>
    </cfRule>
  </conditionalFormatting>
  <conditionalFormatting sqref="AD27">
    <cfRule type="containsErrors" dxfId="102" priority="186">
      <formula>ISERROR(AD27)</formula>
    </cfRule>
  </conditionalFormatting>
  <conditionalFormatting sqref="AE70:AE71">
    <cfRule type="notContainsBlanks" dxfId="101" priority="24">
      <formula>LEN(TRIM(AE70))&gt;0</formula>
    </cfRule>
  </conditionalFormatting>
  <conditionalFormatting sqref="AE58:AF58">
    <cfRule type="containsErrors" dxfId="100" priority="185">
      <formula>ISERROR(AE58)</formula>
    </cfRule>
  </conditionalFormatting>
  <conditionalFormatting sqref="AE60:AF60">
    <cfRule type="containsErrors" dxfId="99" priority="61">
      <formula>ISERROR(AE60)</formula>
    </cfRule>
  </conditionalFormatting>
  <conditionalFormatting sqref="AF10:AF11">
    <cfRule type="notContainsBlanks" dxfId="98" priority="32">
      <formula>LEN(TRIM(AF10))&gt;0</formula>
    </cfRule>
  </conditionalFormatting>
  <conditionalFormatting sqref="AF11">
    <cfRule type="notContainsBlanks" dxfId="97" priority="34">
      <formula>LEN(TRIM(AF11))&gt;0</formula>
    </cfRule>
  </conditionalFormatting>
  <conditionalFormatting sqref="AF14:AF16">
    <cfRule type="containsErrors" dxfId="96" priority="16">
      <formula>ISERROR(AF14)</formula>
    </cfRule>
  </conditionalFormatting>
  <conditionalFormatting sqref="AF18">
    <cfRule type="containsErrors" dxfId="95" priority="15">
      <formula>ISERROR(AF18)</formula>
    </cfRule>
  </conditionalFormatting>
  <conditionalFormatting sqref="AF19:AI19">
    <cfRule type="containsErrors" dxfId="94" priority="14">
      <formula>ISERROR(AF19)</formula>
    </cfRule>
  </conditionalFormatting>
  <conditionalFormatting sqref="AG26">
    <cfRule type="cellIs" dxfId="93" priority="54" operator="equal">
      <formula>0</formula>
    </cfRule>
  </conditionalFormatting>
  <conditionalFormatting sqref="AG26:AG28">
    <cfRule type="notContainsBlanks" dxfId="92" priority="29">
      <formula>LEN(TRIM(AG26))&gt;0</formula>
    </cfRule>
  </conditionalFormatting>
  <conditionalFormatting sqref="AG27">
    <cfRule type="containsErrors" dxfId="91" priority="55">
      <formula>ISERROR(AG27)</formula>
    </cfRule>
  </conditionalFormatting>
  <conditionalFormatting sqref="AG30">
    <cfRule type="cellIs" dxfId="90" priority="53" operator="equal">
      <formula>0</formula>
    </cfRule>
  </conditionalFormatting>
  <conditionalFormatting sqref="AG60">
    <cfRule type="expression" dxfId="89" priority="66">
      <formula>$AE$60&lt;=1</formula>
    </cfRule>
    <cfRule type="expression" dxfId="88" priority="65">
      <formula>$AE$60&gt;1</formula>
    </cfRule>
  </conditionalFormatting>
  <conditionalFormatting sqref="AG78">
    <cfRule type="containsErrors" dxfId="87" priority="57">
      <formula>ISERROR(AG78)</formula>
    </cfRule>
  </conditionalFormatting>
  <conditionalFormatting sqref="AG29:AH30">
    <cfRule type="containsErrors" dxfId="86" priority="13">
      <formula>ISERROR(AG29)</formula>
    </cfRule>
  </conditionalFormatting>
  <conditionalFormatting sqref="AG60:AI60">
    <cfRule type="containsErrors" priority="60">
      <formula>ISERROR(AG60)</formula>
    </cfRule>
    <cfRule type="containsErrors" dxfId="85" priority="59">
      <formula>ISERROR(AG60)</formula>
    </cfRule>
  </conditionalFormatting>
  <conditionalFormatting sqref="AH70">
    <cfRule type="containsErrors" dxfId="84" priority="58">
      <formula>ISERROR(AH70)</formula>
    </cfRule>
  </conditionalFormatting>
  <conditionalFormatting sqref="AK10:AL10">
    <cfRule type="containsErrors" dxfId="83" priority="198">
      <formula>ISERROR(AK10)</formula>
    </cfRule>
  </conditionalFormatting>
  <conditionalFormatting sqref="AK8:AP8">
    <cfRule type="notContainsBlanks" dxfId="82" priority="3">
      <formula>LEN(TRIM(AK8))&gt;0</formula>
    </cfRule>
  </conditionalFormatting>
  <conditionalFormatting sqref="AP40:AP41">
    <cfRule type="notContainsBlanks" dxfId="81" priority="26">
      <formula>LEN(TRIM(AP40))&gt;0</formula>
    </cfRule>
  </conditionalFormatting>
  <conditionalFormatting sqref="AP11:AQ11">
    <cfRule type="notContainsBlanks" dxfId="80" priority="2">
      <formula>LEN(TRIM(AP11))&gt;0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Drop Down 2">
              <controlPr defaultSize="0" autoLine="0" autoPict="0">
                <anchor moveWithCells="1">
                  <from>
                    <xdr:col>23</xdr:col>
                    <xdr:colOff>19050</xdr:colOff>
                    <xdr:row>8</xdr:row>
                    <xdr:rowOff>9525</xdr:rowOff>
                  </from>
                  <to>
                    <xdr:col>24</xdr:col>
                    <xdr:colOff>552450</xdr:colOff>
                    <xdr:row>9</xdr:row>
                    <xdr:rowOff>9525</xdr:rowOff>
                  </to>
                </anchor>
              </controlPr>
            </control>
          </mc:Choice>
        </mc:AlternateContent>
        <mc:AlternateContent xmlns:mc="http://schemas.openxmlformats.org/markup-compatibility/2006">
          <mc:Choice Requires="x14">
            <control shapeId="24582" r:id="rId5" name="Drop Down 6">
              <controlPr defaultSize="0" autoLine="0" autoPict="0">
                <anchor moveWithCells="1">
                  <from>
                    <xdr:col>2</xdr:col>
                    <xdr:colOff>9525</xdr:colOff>
                    <xdr:row>1</xdr:row>
                    <xdr:rowOff>171450</xdr:rowOff>
                  </from>
                  <to>
                    <xdr:col>3</xdr:col>
                    <xdr:colOff>590550</xdr:colOff>
                    <xdr:row>2</xdr:row>
                    <xdr:rowOff>171450</xdr:rowOff>
                  </to>
                </anchor>
              </controlPr>
            </control>
          </mc:Choice>
        </mc:AlternateContent>
        <mc:AlternateContent xmlns:mc="http://schemas.openxmlformats.org/markup-compatibility/2006">
          <mc:Choice Requires="x14">
            <control shapeId="24586" r:id="rId6" name="Drop Down 10">
              <controlPr defaultSize="0" autoLine="0" autoPict="0">
                <anchor moveWithCells="1">
                  <from>
                    <xdr:col>2</xdr:col>
                    <xdr:colOff>9525</xdr:colOff>
                    <xdr:row>36</xdr:row>
                    <xdr:rowOff>171450</xdr:rowOff>
                  </from>
                  <to>
                    <xdr:col>3</xdr:col>
                    <xdr:colOff>590550</xdr:colOff>
                    <xdr:row>37</xdr:row>
                    <xdr:rowOff>171450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218"/>
  <sheetViews>
    <sheetView showGridLines="0" showRowColHeaders="0" topLeftCell="D25" zoomScale="106" zoomScaleNormal="106" workbookViewId="0">
      <selection activeCell="Y12" sqref="Y12"/>
    </sheetView>
  </sheetViews>
  <sheetFormatPr defaultRowHeight="15"/>
  <cols>
    <col min="2" max="2" width="10.140625" bestFit="1" customWidth="1"/>
    <col min="3" max="3" width="9.140625" customWidth="1"/>
  </cols>
  <sheetData>
    <row r="1" spans="1:40">
      <c r="A1" s="328" t="s">
        <v>529</v>
      </c>
      <c r="B1" s="329"/>
      <c r="C1" s="329"/>
      <c r="D1" s="329"/>
      <c r="E1" s="329"/>
      <c r="F1" s="329"/>
      <c r="G1" s="329"/>
      <c r="H1" s="329"/>
      <c r="I1" s="329"/>
    </row>
    <row r="2" spans="1:40" ht="15.75" thickBot="1"/>
    <row r="3" spans="1:40">
      <c r="B3" s="1542" t="s">
        <v>530</v>
      </c>
      <c r="C3" s="1542"/>
      <c r="D3" s="1542"/>
      <c r="E3" s="1542"/>
      <c r="F3" s="1542"/>
      <c r="G3" s="1542"/>
      <c r="H3" s="1542"/>
      <c r="I3" s="1542"/>
      <c r="L3" s="381"/>
      <c r="M3" s="382"/>
      <c r="N3" s="382"/>
      <c r="O3" s="382"/>
      <c r="P3" s="382"/>
      <c r="Q3" s="382"/>
      <c r="R3" s="382"/>
      <c r="S3" s="382"/>
      <c r="T3" s="382"/>
      <c r="U3" s="383"/>
    </row>
    <row r="4" spans="1:40" ht="29.25" customHeight="1">
      <c r="B4" s="1542" t="s">
        <v>531</v>
      </c>
      <c r="C4" s="1542"/>
      <c r="D4" s="1542"/>
      <c r="E4" s="1542"/>
      <c r="F4" s="1542" t="s">
        <v>532</v>
      </c>
      <c r="G4" s="1542"/>
      <c r="H4" s="1543" t="s">
        <v>533</v>
      </c>
      <c r="I4" s="1542"/>
      <c r="L4" s="1555" t="s">
        <v>608</v>
      </c>
      <c r="M4" s="1556"/>
      <c r="N4" s="1556"/>
      <c r="O4" s="1556"/>
      <c r="P4" s="1556"/>
      <c r="Q4" s="1556"/>
      <c r="R4" s="1556"/>
      <c r="S4" s="1556"/>
      <c r="T4" s="1556"/>
      <c r="U4" s="1557"/>
      <c r="X4" s="3"/>
      <c r="Y4" s="3"/>
      <c r="Z4" s="3"/>
      <c r="AA4" s="532"/>
      <c r="AB4" s="532"/>
      <c r="AC4" s="532"/>
      <c r="AD4" s="683"/>
      <c r="AE4" s="683"/>
    </row>
    <row r="5" spans="1:40">
      <c r="B5" s="1544" t="s">
        <v>534</v>
      </c>
      <c r="C5" s="1544"/>
      <c r="D5" s="1544"/>
      <c r="E5" s="1544"/>
      <c r="F5" s="1545" t="s">
        <v>535</v>
      </c>
      <c r="G5" s="1545"/>
      <c r="H5" s="1544">
        <v>1.5</v>
      </c>
      <c r="I5" s="1544"/>
      <c r="L5" s="384"/>
      <c r="M5" s="385"/>
      <c r="N5" s="385"/>
      <c r="O5" s="385"/>
      <c r="P5" s="385"/>
      <c r="Q5" s="385"/>
      <c r="R5" s="385"/>
      <c r="S5" s="385"/>
      <c r="T5" s="385"/>
      <c r="U5" s="386"/>
      <c r="X5" s="3"/>
      <c r="Y5" s="3"/>
      <c r="Z5" s="3"/>
      <c r="AA5" s="3"/>
      <c r="AB5" s="3"/>
      <c r="AC5" s="3"/>
    </row>
    <row r="6" spans="1:40">
      <c r="B6" s="1544" t="s">
        <v>536</v>
      </c>
      <c r="C6" s="1544"/>
      <c r="D6" s="1544"/>
      <c r="E6" s="1544"/>
      <c r="F6" s="1545" t="s">
        <v>537</v>
      </c>
      <c r="G6" s="1545"/>
      <c r="H6" s="1546" t="s">
        <v>537</v>
      </c>
      <c r="I6" s="1544"/>
      <c r="L6" s="384"/>
      <c r="M6" s="385"/>
      <c r="N6" s="385"/>
      <c r="O6" s="385"/>
      <c r="P6" s="385"/>
      <c r="Q6" s="385"/>
      <c r="R6" s="385"/>
      <c r="S6" s="385"/>
      <c r="T6" s="432" t="s">
        <v>655</v>
      </c>
      <c r="U6" s="386">
        <f>D201</f>
        <v>0</v>
      </c>
      <c r="X6" s="3"/>
      <c r="Y6" s="3"/>
      <c r="Z6" s="3"/>
      <c r="AA6" s="3"/>
      <c r="AB6" s="3"/>
      <c r="AC6" s="3"/>
    </row>
    <row r="7" spans="1:40" ht="15.75">
      <c r="B7" s="1544" t="s">
        <v>538</v>
      </c>
      <c r="C7" s="1544"/>
      <c r="D7" s="1544"/>
      <c r="E7" s="1544"/>
      <c r="F7" s="1545" t="s">
        <v>539</v>
      </c>
      <c r="G7" s="1545"/>
      <c r="H7" s="1544">
        <v>2</v>
      </c>
      <c r="I7" s="1544"/>
      <c r="L7" s="384"/>
      <c r="M7" s="385"/>
      <c r="N7" s="385"/>
      <c r="O7" s="1558" t="s">
        <v>627</v>
      </c>
      <c r="P7" s="1558"/>
      <c r="Q7" s="1558"/>
      <c r="R7" s="385"/>
      <c r="S7" s="385"/>
      <c r="T7" s="432" t="s">
        <v>656</v>
      </c>
      <c r="U7" s="386" t="e">
        <f>E201</f>
        <v>#N/A</v>
      </c>
      <c r="X7" s="3"/>
      <c r="Y7" s="3"/>
      <c r="Z7" s="3"/>
      <c r="AA7" s="3"/>
      <c r="AB7" s="3"/>
      <c r="AC7" s="3"/>
    </row>
    <row r="8" spans="1:40">
      <c r="B8" s="1544" t="s">
        <v>540</v>
      </c>
      <c r="C8" s="1544"/>
      <c r="D8" s="1544"/>
      <c r="E8" s="1544"/>
      <c r="F8" s="1545" t="s">
        <v>541</v>
      </c>
      <c r="G8" s="1545"/>
      <c r="H8" s="1544">
        <v>3</v>
      </c>
      <c r="I8" s="1544"/>
      <c r="L8" s="384"/>
      <c r="M8" s="387"/>
      <c r="N8" s="385"/>
      <c r="O8" s="385"/>
      <c r="P8" s="385"/>
      <c r="Q8" s="385"/>
      <c r="R8" s="385"/>
      <c r="S8" s="385"/>
      <c r="T8" s="432" t="s">
        <v>657</v>
      </c>
      <c r="U8" s="386" t="e">
        <f>F201</f>
        <v>#N/A</v>
      </c>
      <c r="X8" s="3"/>
      <c r="Y8" s="579"/>
      <c r="Z8" s="3"/>
      <c r="AA8" s="3"/>
      <c r="AB8" s="3"/>
      <c r="AC8" s="3"/>
      <c r="AG8" s="940"/>
      <c r="AH8" s="940"/>
      <c r="AI8" s="940"/>
      <c r="AJ8" s="940"/>
      <c r="AK8" s="940"/>
      <c r="AL8" s="940"/>
      <c r="AN8" s="366"/>
    </row>
    <row r="9" spans="1:40">
      <c r="B9" s="1544" t="s">
        <v>542</v>
      </c>
      <c r="C9" s="1544"/>
      <c r="D9" s="1544"/>
      <c r="E9" s="1544"/>
      <c r="F9" s="1545" t="s">
        <v>543</v>
      </c>
      <c r="G9" s="1545"/>
      <c r="H9" s="1544" t="s">
        <v>541</v>
      </c>
      <c r="I9" s="1544"/>
      <c r="L9" s="384"/>
      <c r="M9" s="388" t="s">
        <v>609</v>
      </c>
      <c r="N9" s="1541" t="s">
        <v>610</v>
      </c>
      <c r="O9" s="1541"/>
      <c r="P9" s="1538"/>
      <c r="Q9" s="1540" t="s">
        <v>611</v>
      </c>
      <c r="R9" s="1541"/>
      <c r="S9" s="1538"/>
      <c r="T9" s="385"/>
      <c r="U9" s="386"/>
      <c r="X9" s="3"/>
      <c r="Y9" s="3"/>
      <c r="Z9" s="3"/>
      <c r="AA9" s="580"/>
      <c r="AB9" s="3"/>
      <c r="AC9" s="3"/>
      <c r="AG9" s="857"/>
      <c r="AH9" s="857"/>
      <c r="AI9" s="857"/>
      <c r="AJ9" s="857"/>
      <c r="AK9" s="857"/>
      <c r="AL9" s="857"/>
      <c r="AN9" s="684"/>
    </row>
    <row r="10" spans="1:40">
      <c r="B10" s="1544" t="s">
        <v>544</v>
      </c>
      <c r="C10" s="1544"/>
      <c r="D10" s="1544"/>
      <c r="E10" s="1544"/>
      <c r="F10" s="1545" t="s">
        <v>545</v>
      </c>
      <c r="G10" s="1545"/>
      <c r="H10" s="1544" t="s">
        <v>546</v>
      </c>
      <c r="I10" s="1544"/>
      <c r="L10" s="384"/>
      <c r="M10" s="389">
        <v>2000</v>
      </c>
      <c r="N10" s="1537" t="e">
        <f>(U8*U6)/100</f>
        <v>#N/A</v>
      </c>
      <c r="O10" s="1539"/>
      <c r="P10" s="390" t="s">
        <v>612</v>
      </c>
      <c r="Q10" s="1537" t="e">
        <f>((U8*(U6^2))/U7)/100</f>
        <v>#N/A</v>
      </c>
      <c r="R10" s="1538"/>
      <c r="S10" s="390" t="s">
        <v>612</v>
      </c>
      <c r="T10" s="385"/>
      <c r="U10" s="386"/>
      <c r="X10" s="3"/>
      <c r="Y10" s="3"/>
      <c r="Z10" s="3"/>
      <c r="AA10" s="3"/>
      <c r="AB10" s="3"/>
      <c r="AC10" s="3"/>
    </row>
    <row r="11" spans="1:40">
      <c r="L11" s="384"/>
      <c r="M11" s="391">
        <v>2010</v>
      </c>
      <c r="N11" s="1537">
        <f>((0.44*U6^0.25)*U6)/100</f>
        <v>0</v>
      </c>
      <c r="O11" s="1539"/>
      <c r="P11" s="390" t="s">
        <v>612</v>
      </c>
      <c r="Q11" s="1537" t="e">
        <f>((0.44*(U6^0.25)*(U6*U6))/U7)/100</f>
        <v>#N/A</v>
      </c>
      <c r="R11" s="1538"/>
      <c r="S11" s="390" t="s">
        <v>612</v>
      </c>
      <c r="T11" s="385"/>
      <c r="U11" s="386"/>
      <c r="X11" s="3"/>
      <c r="Y11" s="3"/>
      <c r="Z11" s="1522"/>
      <c r="AA11" s="1107"/>
      <c r="AB11" s="685"/>
      <c r="AC11" s="579"/>
      <c r="AG11" s="1523"/>
      <c r="AH11" s="1523"/>
      <c r="AI11" s="519"/>
      <c r="AK11" s="940"/>
      <c r="AL11" s="940"/>
    </row>
    <row r="12" spans="1:40" ht="15.75" thickBot="1">
      <c r="A12" s="3"/>
      <c r="B12" s="3"/>
      <c r="C12" s="3"/>
      <c r="D12" s="3"/>
      <c r="E12" s="3"/>
      <c r="F12" s="3"/>
      <c r="G12" s="3"/>
      <c r="H12" s="3"/>
      <c r="L12" s="384"/>
      <c r="M12" s="391">
        <v>2012</v>
      </c>
      <c r="N12" s="1537">
        <f>((0.44*U6^0.25)*U6)/100</f>
        <v>0</v>
      </c>
      <c r="O12" s="1539"/>
      <c r="P12" s="390" t="s">
        <v>612</v>
      </c>
      <c r="Q12" s="1537" t="e">
        <f>((0.44*(U6^0.25)*(U6*U6))/U7)/100</f>
        <v>#N/A</v>
      </c>
      <c r="R12" s="1538"/>
      <c r="S12" s="390" t="s">
        <v>612</v>
      </c>
      <c r="T12" s="385"/>
      <c r="U12" s="386"/>
      <c r="X12" s="3"/>
      <c r="Y12" s="3"/>
      <c r="Z12" s="1522"/>
      <c r="AA12" s="1107"/>
      <c r="AB12" s="685"/>
      <c r="AC12" s="579"/>
      <c r="AG12" s="3"/>
      <c r="AH12" s="3"/>
      <c r="AI12" s="3"/>
      <c r="AK12" s="857"/>
      <c r="AL12" s="857"/>
    </row>
    <row r="13" spans="1:40" ht="15.75">
      <c r="A13" s="337"/>
      <c r="B13" s="338"/>
      <c r="C13" s="338"/>
      <c r="D13" s="338"/>
      <c r="E13" s="338"/>
      <c r="F13" s="338"/>
      <c r="G13" s="397" t="s">
        <v>632</v>
      </c>
      <c r="H13" s="294"/>
      <c r="L13" s="384"/>
      <c r="M13" s="392" t="s">
        <v>619</v>
      </c>
      <c r="N13" s="405">
        <v>1</v>
      </c>
      <c r="O13" s="387"/>
      <c r="P13" s="387" t="s">
        <v>613</v>
      </c>
      <c r="Q13" s="1537" t="e">
        <f>(1+0.33*(N14/N13))*Q12</f>
        <v>#N/A</v>
      </c>
      <c r="R13" s="1539"/>
      <c r="S13" s="390" t="s">
        <v>612</v>
      </c>
      <c r="T13" s="385"/>
      <c r="U13" s="386"/>
      <c r="X13" s="3"/>
      <c r="Y13" s="3"/>
      <c r="Z13" s="1522"/>
      <c r="AA13" s="1107"/>
      <c r="AB13" s="1522"/>
      <c r="AC13" s="1522"/>
      <c r="AF13" s="3"/>
      <c r="AG13" s="88"/>
      <c r="AH13" s="88"/>
      <c r="AI13" s="88"/>
      <c r="AJ13" s="88"/>
      <c r="AK13" s="88"/>
      <c r="AL13" s="88"/>
      <c r="AM13" s="88"/>
      <c r="AN13" s="88"/>
    </row>
    <row r="14" spans="1:40">
      <c r="A14" s="50"/>
      <c r="B14" s="330" t="s">
        <v>547</v>
      </c>
      <c r="C14" s="562"/>
      <c r="D14" s="3"/>
      <c r="E14" s="3"/>
      <c r="F14" s="3"/>
      <c r="G14" s="3"/>
      <c r="H14" s="295"/>
      <c r="I14" s="1431" t="s">
        <v>794</v>
      </c>
      <c r="J14" s="1432"/>
      <c r="L14" s="384"/>
      <c r="M14" s="392" t="s">
        <v>618</v>
      </c>
      <c r="N14" s="405">
        <v>1</v>
      </c>
      <c r="O14" s="387"/>
      <c r="P14" s="387" t="s">
        <v>614</v>
      </c>
      <c r="Q14" s="1537" t="e">
        <f>Q12*((N13+0.305)/N13)^2</f>
        <v>#N/A</v>
      </c>
      <c r="R14" s="1539"/>
      <c r="S14" s="390" t="s">
        <v>612</v>
      </c>
      <c r="T14" s="385"/>
      <c r="U14" s="386"/>
      <c r="X14" s="3"/>
      <c r="Y14" s="1522"/>
      <c r="Z14" s="1107"/>
      <c r="AA14" s="1107"/>
      <c r="AB14" s="1522"/>
      <c r="AC14" s="1522"/>
      <c r="AF14" s="3"/>
      <c r="AG14" s="88"/>
      <c r="AH14" s="88"/>
      <c r="AI14" s="88"/>
      <c r="AJ14" s="88"/>
      <c r="AK14" s="88"/>
      <c r="AL14" s="88"/>
      <c r="AM14" s="88"/>
      <c r="AN14" s="88"/>
    </row>
    <row r="15" spans="1:40">
      <c r="A15" s="50"/>
      <c r="B15" s="330" t="s">
        <v>548</v>
      </c>
      <c r="C15" s="562"/>
      <c r="D15" s="3"/>
      <c r="E15" s="3"/>
      <c r="F15" s="3"/>
      <c r="G15" s="3"/>
      <c r="H15" s="295"/>
      <c r="I15" s="1431"/>
      <c r="J15" s="1432"/>
      <c r="L15" s="384"/>
      <c r="M15" s="387" t="s">
        <v>615</v>
      </c>
      <c r="N15" s="387"/>
      <c r="O15" s="387" t="s">
        <v>616</v>
      </c>
      <c r="P15" s="387"/>
      <c r="Q15" s="387"/>
      <c r="R15" s="387" t="s">
        <v>617</v>
      </c>
      <c r="S15" s="387"/>
      <c r="T15" s="387"/>
      <c r="U15" s="386"/>
      <c r="X15" s="3"/>
      <c r="Y15" s="1522"/>
      <c r="Z15" s="1107"/>
      <c r="AA15" s="1107"/>
      <c r="AB15" s="686"/>
      <c r="AC15" s="687"/>
      <c r="AF15" s="3"/>
      <c r="AG15" s="88"/>
      <c r="AH15" s="88"/>
      <c r="AI15" s="61"/>
      <c r="AJ15" s="88"/>
      <c r="AK15" s="88"/>
      <c r="AL15" s="88"/>
      <c r="AM15" s="88"/>
      <c r="AN15" s="88"/>
    </row>
    <row r="16" spans="1:40">
      <c r="A16" s="50"/>
      <c r="B16" s="331" t="s">
        <v>549</v>
      </c>
      <c r="C16" s="562"/>
      <c r="D16" s="3"/>
      <c r="E16" s="3"/>
      <c r="F16" s="3"/>
      <c r="G16" s="3"/>
      <c r="H16" s="295"/>
      <c r="L16" s="384"/>
      <c r="M16" s="385"/>
      <c r="N16" s="385"/>
      <c r="O16" s="385"/>
      <c r="P16" s="385"/>
      <c r="Q16" s="385"/>
      <c r="R16" s="385"/>
      <c r="S16" s="385"/>
      <c r="T16" s="432" t="s">
        <v>655</v>
      </c>
      <c r="U16" s="386">
        <f>D203</f>
        <v>0</v>
      </c>
      <c r="X16" s="3"/>
      <c r="Y16" s="1522"/>
      <c r="Z16" s="1107"/>
      <c r="AA16" s="1107"/>
      <c r="AB16" s="688"/>
      <c r="AC16" s="580"/>
      <c r="AF16" s="3"/>
      <c r="AG16" s="88"/>
      <c r="AH16" s="88"/>
      <c r="AI16" s="88"/>
      <c r="AJ16" s="88"/>
      <c r="AK16" s="689"/>
      <c r="AL16" s="88"/>
      <c r="AM16" s="88"/>
      <c r="AN16" s="88"/>
    </row>
    <row r="17" spans="1:40">
      <c r="A17" s="50"/>
      <c r="B17" s="332" t="s">
        <v>550</v>
      </c>
      <c r="C17" s="562"/>
      <c r="D17" s="3"/>
      <c r="E17" s="3"/>
      <c r="F17" s="3"/>
      <c r="G17" s="3"/>
      <c r="H17" s="295"/>
      <c r="L17" s="384"/>
      <c r="M17" s="385"/>
      <c r="N17" s="385"/>
      <c r="O17" s="385"/>
      <c r="P17" s="385"/>
      <c r="Q17" s="385"/>
      <c r="R17" s="385"/>
      <c r="S17" s="385"/>
      <c r="T17" s="432" t="s">
        <v>656</v>
      </c>
      <c r="U17" s="386" t="e">
        <f>E203</f>
        <v>#N/A</v>
      </c>
      <c r="X17" s="3"/>
      <c r="Y17" s="1522"/>
      <c r="Z17" s="1107"/>
      <c r="AA17" s="1107"/>
      <c r="AB17" s="690"/>
      <c r="AC17" s="580"/>
      <c r="AF17" s="3"/>
      <c r="AG17" s="88"/>
      <c r="AH17" s="88"/>
      <c r="AI17" s="61"/>
      <c r="AJ17" s="88"/>
      <c r="AK17" s="691"/>
      <c r="AL17" s="88"/>
      <c r="AM17" s="88"/>
      <c r="AN17" s="88"/>
    </row>
    <row r="18" spans="1:40" ht="15.75">
      <c r="A18" s="50"/>
      <c r="B18" s="3"/>
      <c r="C18" s="3"/>
      <c r="D18" s="3"/>
      <c r="E18" s="3"/>
      <c r="F18" s="3"/>
      <c r="G18" s="3"/>
      <c r="H18" s="295"/>
      <c r="L18" s="384"/>
      <c r="M18" s="385"/>
      <c r="N18" s="385"/>
      <c r="O18" s="1558" t="s">
        <v>628</v>
      </c>
      <c r="P18" s="1558"/>
      <c r="Q18" s="1558"/>
      <c r="R18" s="385"/>
      <c r="S18" s="385"/>
      <c r="T18" s="432" t="s">
        <v>657</v>
      </c>
      <c r="U18" s="386" t="e">
        <f>F203</f>
        <v>#N/A</v>
      </c>
      <c r="X18" s="3"/>
      <c r="Y18" s="3"/>
      <c r="Z18" s="3"/>
      <c r="AA18" s="3"/>
      <c r="AB18" s="3"/>
      <c r="AC18" s="3"/>
      <c r="AF18" s="3"/>
      <c r="AG18" s="88"/>
      <c r="AH18" s="88"/>
      <c r="AI18" s="61"/>
      <c r="AJ18" s="88"/>
      <c r="AK18" s="691"/>
      <c r="AL18" s="88"/>
      <c r="AM18" s="88"/>
      <c r="AN18" s="88"/>
    </row>
    <row r="19" spans="1:40">
      <c r="A19" s="50"/>
      <c r="B19" s="3"/>
      <c r="C19" s="3"/>
      <c r="D19" s="3"/>
      <c r="E19" s="3"/>
      <c r="F19" s="3"/>
      <c r="G19" s="3"/>
      <c r="H19" s="295"/>
      <c r="L19" s="384"/>
      <c r="M19" s="393"/>
      <c r="N19" s="385"/>
      <c r="O19" s="385"/>
      <c r="P19" s="385"/>
      <c r="Q19" s="385"/>
      <c r="R19" s="385"/>
      <c r="S19" s="385"/>
      <c r="T19" s="385"/>
      <c r="U19" s="386"/>
      <c r="AA19" s="692"/>
      <c r="AB19" s="693"/>
      <c r="AC19" s="3"/>
      <c r="AD19" s="3"/>
      <c r="AE19" s="3"/>
      <c r="AF19" s="3"/>
      <c r="AG19" s="88"/>
      <c r="AH19" s="88"/>
      <c r="AI19" s="61"/>
      <c r="AJ19" s="88"/>
      <c r="AK19" s="88"/>
      <c r="AL19" s="88"/>
      <c r="AM19" s="88"/>
      <c r="AN19" s="88"/>
    </row>
    <row r="20" spans="1:40" ht="15" customHeight="1">
      <c r="A20" s="50"/>
      <c r="B20" s="330" t="s">
        <v>551</v>
      </c>
      <c r="C20" s="407" t="e">
        <f>C14/C15</f>
        <v>#DIV/0!</v>
      </c>
      <c r="D20" s="3"/>
      <c r="E20" s="330" t="s">
        <v>552</v>
      </c>
      <c r="F20" s="178" t="e">
        <f>(IF(AND(C20&gt;1.5,C20&lt;=1.99),"1.5",IF(AND(C20&gt;=2,C20&lt;=2.99),"2",IF(AND(C20&gt;=3,C20&lt;=3.99),"3",IF(AND(C20&gt;=4,C20&lt;=5.99),"4",IF(AND(C20&gt;=5,C20&lt;=7.99),"5","1,4"))))))</f>
        <v>#DIV/0!</v>
      </c>
      <c r="G20" s="3"/>
      <c r="H20" s="295"/>
      <c r="L20" s="384"/>
      <c r="M20" s="391" t="s">
        <v>609</v>
      </c>
      <c r="N20" s="1540" t="s">
        <v>610</v>
      </c>
      <c r="O20" s="1541"/>
      <c r="P20" s="1538"/>
      <c r="Q20" s="1540" t="s">
        <v>611</v>
      </c>
      <c r="R20" s="1541"/>
      <c r="S20" s="1538"/>
      <c r="T20" s="385"/>
      <c r="U20" s="386"/>
      <c r="AA20" s="3"/>
      <c r="AB20" s="1525"/>
      <c r="AC20" s="1525"/>
      <c r="AD20" s="1525"/>
      <c r="AE20" s="1525"/>
      <c r="AF20" s="3"/>
      <c r="AG20" s="88"/>
      <c r="AH20" s="88"/>
      <c r="AI20" s="88"/>
      <c r="AJ20" s="88"/>
      <c r="AK20" s="88"/>
      <c r="AL20" s="88"/>
      <c r="AM20" s="88"/>
      <c r="AN20" s="88"/>
    </row>
    <row r="21" spans="1:40" ht="15" customHeight="1">
      <c r="A21" s="50"/>
      <c r="B21" s="3"/>
      <c r="C21" s="3"/>
      <c r="D21" s="3"/>
      <c r="E21" s="3"/>
      <c r="F21" s="3"/>
      <c r="G21" s="3"/>
      <c r="H21" s="295"/>
      <c r="L21" s="384"/>
      <c r="M21" s="391">
        <v>2000</v>
      </c>
      <c r="N21" s="1537" t="e">
        <f>(U18*U16)/100</f>
        <v>#N/A</v>
      </c>
      <c r="O21" s="1539"/>
      <c r="P21" s="390" t="s">
        <v>612</v>
      </c>
      <c r="Q21" s="1537" t="e">
        <f>((U18*(U16^2))/U17)/100</f>
        <v>#N/A</v>
      </c>
      <c r="R21" s="1538"/>
      <c r="S21" s="390" t="s">
        <v>612</v>
      </c>
      <c r="T21" s="385"/>
      <c r="U21" s="386"/>
      <c r="AF21" s="3"/>
      <c r="AG21" s="88"/>
      <c r="AH21" s="88"/>
      <c r="AI21" s="88"/>
      <c r="AJ21" s="88"/>
      <c r="AK21" s="88"/>
      <c r="AL21" s="88"/>
      <c r="AM21" s="88"/>
      <c r="AN21" s="88"/>
    </row>
    <row r="22" spans="1:40" ht="15.75" thickBot="1">
      <c r="A22" s="339" t="s">
        <v>553</v>
      </c>
      <c r="B22" s="1547" t="s">
        <v>554</v>
      </c>
      <c r="C22" s="1547"/>
      <c r="D22" s="1547"/>
      <c r="E22" s="1549">
        <f>10*C17*C16</f>
        <v>0</v>
      </c>
      <c r="F22" s="1549"/>
      <c r="G22" s="3" t="s">
        <v>555</v>
      </c>
      <c r="H22" s="295"/>
      <c r="L22" s="384"/>
      <c r="M22" s="391">
        <v>2010</v>
      </c>
      <c r="N22" s="1537">
        <f>((0.44*U16^0.25)*U16)/100</f>
        <v>0</v>
      </c>
      <c r="O22" s="1539"/>
      <c r="P22" s="390" t="s">
        <v>612</v>
      </c>
      <c r="Q22" s="1537" t="e">
        <f>((0.44*(U16^0.25)*(U16*U16))/U17)/100</f>
        <v>#N/A</v>
      </c>
      <c r="R22" s="1538"/>
      <c r="S22" s="390" t="s">
        <v>612</v>
      </c>
      <c r="T22" s="385"/>
      <c r="U22" s="386"/>
    </row>
    <row r="23" spans="1:40">
      <c r="A23" s="50"/>
      <c r="B23" s="20"/>
      <c r="C23" s="20"/>
      <c r="D23" s="20"/>
      <c r="E23" s="20"/>
      <c r="F23" s="20"/>
      <c r="G23" s="3"/>
      <c r="H23" s="295"/>
      <c r="L23" s="384"/>
      <c r="M23" s="391">
        <v>2012</v>
      </c>
      <c r="N23" s="1537">
        <f>((0.44*U16^0.25)*U16)/100</f>
        <v>0</v>
      </c>
      <c r="O23" s="1539"/>
      <c r="P23" s="390" t="s">
        <v>612</v>
      </c>
      <c r="Q23" s="1537" t="e">
        <f>((0.44*(U16^0.25)*(U16*U16))/U17)/100</f>
        <v>#N/A</v>
      </c>
      <c r="R23" s="1538"/>
      <c r="S23" s="390" t="s">
        <v>612</v>
      </c>
      <c r="T23" s="385"/>
      <c r="U23" s="386"/>
      <c r="X23" s="337"/>
      <c r="Y23" s="338"/>
      <c r="Z23" s="338"/>
      <c r="AA23" s="338"/>
      <c r="AB23" s="338"/>
      <c r="AC23" s="338"/>
      <c r="AD23" s="581" t="s">
        <v>770</v>
      </c>
      <c r="AE23" s="204"/>
      <c r="AF23" s="3"/>
      <c r="AG23" s="3"/>
      <c r="AH23" s="3"/>
      <c r="AI23" s="3"/>
      <c r="AJ23" s="3"/>
      <c r="AK23" s="3"/>
      <c r="AL23" s="3"/>
      <c r="AM23" s="538"/>
      <c r="AN23" s="3"/>
    </row>
    <row r="24" spans="1:40" ht="18.75">
      <c r="A24" s="50"/>
      <c r="B24" s="20"/>
      <c r="C24" s="644"/>
      <c r="D24" s="20"/>
      <c r="E24" s="20"/>
      <c r="F24" s="20"/>
      <c r="G24" s="3"/>
      <c r="H24" s="295"/>
      <c r="L24" s="384"/>
      <c r="M24" s="392" t="s">
        <v>619</v>
      </c>
      <c r="N24" s="391">
        <f>N13</f>
        <v>1</v>
      </c>
      <c r="O24" s="387"/>
      <c r="P24" s="387" t="s">
        <v>613</v>
      </c>
      <c r="Q24" s="1537" t="e">
        <f>(1+0.33*(N25/N24))*Q23</f>
        <v>#N/A</v>
      </c>
      <c r="R24" s="1539"/>
      <c r="S24" s="390" t="s">
        <v>612</v>
      </c>
      <c r="T24" s="385"/>
      <c r="U24" s="386"/>
      <c r="X24" s="50"/>
      <c r="Y24" s="1536" t="s">
        <v>765</v>
      </c>
      <c r="Z24" s="1536"/>
      <c r="AA24" s="1536"/>
      <c r="AB24" s="1536"/>
      <c r="AC24" s="3"/>
      <c r="AD24" s="3"/>
      <c r="AE24" s="205"/>
      <c r="AF24" s="3"/>
      <c r="AG24" s="1432" t="s">
        <v>794</v>
      </c>
      <c r="AH24" s="1432"/>
      <c r="AI24" s="518"/>
      <c r="AJ24" s="518"/>
      <c r="AK24" s="518"/>
      <c r="AL24" s="3"/>
      <c r="AM24" s="3"/>
      <c r="AN24" s="3"/>
    </row>
    <row r="25" spans="1:40">
      <c r="A25" s="339" t="s">
        <v>556</v>
      </c>
      <c r="B25" s="1547" t="s">
        <v>557</v>
      </c>
      <c r="C25" s="1547"/>
      <c r="D25" s="1547"/>
      <c r="E25" s="406">
        <f>10*C17*C15*0.1</f>
        <v>0</v>
      </c>
      <c r="F25" s="69" t="s">
        <v>558</v>
      </c>
      <c r="G25" s="399" t="s">
        <v>633</v>
      </c>
      <c r="H25" s="295"/>
      <c r="L25" s="384"/>
      <c r="M25" s="392" t="s">
        <v>618</v>
      </c>
      <c r="N25" s="391">
        <f>N14</f>
        <v>1</v>
      </c>
      <c r="O25" s="387"/>
      <c r="P25" s="387" t="s">
        <v>614</v>
      </c>
      <c r="Q25" s="1537" t="e">
        <f>Q23*((N24+0.305)/N24)^2</f>
        <v>#N/A</v>
      </c>
      <c r="R25" s="1539"/>
      <c r="S25" s="390" t="s">
        <v>612</v>
      </c>
      <c r="T25" s="385"/>
      <c r="U25" s="386"/>
      <c r="X25" s="50"/>
      <c r="Y25" s="3"/>
      <c r="Z25" s="3"/>
      <c r="AA25" s="3"/>
      <c r="AB25" s="3"/>
      <c r="AC25" s="3"/>
      <c r="AD25" s="3"/>
      <c r="AE25" s="205"/>
      <c r="AF25" s="3"/>
      <c r="AG25" s="1432"/>
      <c r="AH25" s="1432"/>
      <c r="AI25" s="3"/>
      <c r="AJ25" s="3"/>
      <c r="AK25" s="3"/>
      <c r="AL25" s="3"/>
      <c r="AM25" s="3"/>
      <c r="AN25" s="3"/>
    </row>
    <row r="26" spans="1:40">
      <c r="A26" s="50"/>
      <c r="B26" s="3"/>
      <c r="C26" s="3"/>
      <c r="D26" s="3"/>
      <c r="E26" s="406">
        <f>(1/100)*E25</f>
        <v>0</v>
      </c>
      <c r="F26" s="3" t="s">
        <v>559</v>
      </c>
      <c r="G26" s="3"/>
      <c r="H26" s="295"/>
      <c r="L26" s="384"/>
      <c r="M26" s="385"/>
      <c r="N26" s="385"/>
      <c r="O26" s="385"/>
      <c r="P26" s="385"/>
      <c r="Q26" s="385"/>
      <c r="R26" s="385"/>
      <c r="S26" s="385"/>
      <c r="T26" s="385"/>
      <c r="U26" s="386"/>
      <c r="X26" s="50"/>
      <c r="Y26" s="3"/>
      <c r="Z26" s="582"/>
      <c r="AA26" s="3"/>
      <c r="AB26" s="3"/>
      <c r="AC26" s="3"/>
      <c r="AD26" s="3"/>
      <c r="AE26" s="205"/>
      <c r="AF26" s="3"/>
      <c r="AG26" s="3"/>
      <c r="AH26" s="3"/>
      <c r="AI26" s="582"/>
      <c r="AJ26" s="3"/>
      <c r="AK26" s="3"/>
      <c r="AL26" s="3"/>
      <c r="AM26" s="3"/>
      <c r="AN26" s="3"/>
    </row>
    <row r="27" spans="1:40">
      <c r="A27" s="50"/>
      <c r="B27" s="3"/>
      <c r="C27" s="3"/>
      <c r="D27" s="3"/>
      <c r="E27" s="3"/>
      <c r="F27" s="3"/>
      <c r="G27" s="3"/>
      <c r="H27" s="295"/>
      <c r="L27" s="384"/>
      <c r="M27" s="385"/>
      <c r="N27" s="385"/>
      <c r="O27" s="385"/>
      <c r="P27" s="385"/>
      <c r="Q27" s="385"/>
      <c r="R27" s="385"/>
      <c r="S27" s="385"/>
      <c r="T27" s="432" t="s">
        <v>655</v>
      </c>
      <c r="U27" s="386">
        <f>D211</f>
        <v>0</v>
      </c>
      <c r="X27" s="50"/>
      <c r="Y27" s="1535" t="s">
        <v>766</v>
      </c>
      <c r="Z27" s="1535"/>
      <c r="AA27" s="1535"/>
      <c r="AB27" s="648"/>
      <c r="AC27" s="3"/>
      <c r="AD27" s="3"/>
      <c r="AE27" s="205"/>
      <c r="AF27" s="3"/>
      <c r="AG27" s="3"/>
      <c r="AH27" s="604"/>
      <c r="AI27" s="604"/>
      <c r="AJ27" s="604"/>
      <c r="AK27" s="602"/>
      <c r="AL27" s="3"/>
      <c r="AM27" s="3"/>
      <c r="AN27" s="3"/>
    </row>
    <row r="28" spans="1:40" ht="15.75">
      <c r="A28" s="340" t="s">
        <v>560</v>
      </c>
      <c r="B28" s="1547" t="s">
        <v>561</v>
      </c>
      <c r="C28" s="1547"/>
      <c r="D28" s="1547"/>
      <c r="E28" s="407" t="e">
        <f>((C15*C15)*C17)/C14</f>
        <v>#DIV/0!</v>
      </c>
      <c r="F28" s="3" t="s">
        <v>558</v>
      </c>
      <c r="G28" s="3"/>
      <c r="H28" s="295"/>
      <c r="L28" s="384"/>
      <c r="M28" s="385"/>
      <c r="N28" s="385"/>
      <c r="O28" s="1558" t="s">
        <v>629</v>
      </c>
      <c r="P28" s="1558"/>
      <c r="Q28" s="1558"/>
      <c r="R28" s="385"/>
      <c r="S28" s="385"/>
      <c r="T28" s="432" t="s">
        <v>656</v>
      </c>
      <c r="U28" s="386" t="e">
        <f>E211</f>
        <v>#N/A</v>
      </c>
      <c r="X28" s="50"/>
      <c r="Y28" s="1535" t="s">
        <v>767</v>
      </c>
      <c r="Z28" s="1535"/>
      <c r="AA28" s="1535"/>
      <c r="AB28" s="649"/>
      <c r="AC28" s="583"/>
      <c r="AD28" s="583"/>
      <c r="AE28" s="584"/>
      <c r="AF28" s="583"/>
      <c r="AG28" s="3"/>
      <c r="AH28" s="604"/>
      <c r="AI28" s="604"/>
      <c r="AJ28" s="604"/>
      <c r="AK28" s="602"/>
      <c r="AL28" s="583"/>
      <c r="AM28" s="583"/>
      <c r="AN28" s="583"/>
    </row>
    <row r="29" spans="1:40">
      <c r="A29" s="50"/>
      <c r="B29" s="3"/>
      <c r="C29" s="3"/>
      <c r="D29" s="3"/>
      <c r="E29" s="407" t="e">
        <f>(1/100)*E28</f>
        <v>#DIV/0!</v>
      </c>
      <c r="F29" s="3" t="s">
        <v>559</v>
      </c>
      <c r="G29" s="398" t="s">
        <v>634</v>
      </c>
      <c r="H29" s="400"/>
      <c r="L29" s="384"/>
      <c r="M29" s="393"/>
      <c r="N29" s="385"/>
      <c r="O29" s="385"/>
      <c r="P29" s="385"/>
      <c r="Q29" s="385"/>
      <c r="R29" s="385"/>
      <c r="S29" s="385"/>
      <c r="T29" s="432" t="s">
        <v>657</v>
      </c>
      <c r="U29" s="386" t="e">
        <f>F211</f>
        <v>#N/A</v>
      </c>
      <c r="X29" s="50"/>
      <c r="Y29" s="1535" t="s">
        <v>768</v>
      </c>
      <c r="Z29" s="1535"/>
      <c r="AA29" s="1535"/>
      <c r="AB29" s="650"/>
      <c r="AC29" s="646" t="e">
        <f>AB29*(AB27^2)/AB28</f>
        <v>#DIV/0!</v>
      </c>
      <c r="AD29" s="519" t="s">
        <v>769</v>
      </c>
      <c r="AE29" s="205"/>
      <c r="AF29" s="3"/>
      <c r="AG29" s="3"/>
      <c r="AH29" s="604"/>
      <c r="AI29" s="604"/>
      <c r="AJ29" s="604"/>
      <c r="AK29" s="602"/>
      <c r="AL29" s="598"/>
      <c r="AM29" s="519"/>
      <c r="AN29" s="3"/>
    </row>
    <row r="30" spans="1:40" ht="15.75" thickBot="1">
      <c r="A30" s="207"/>
      <c r="B30" s="208"/>
      <c r="C30" s="208"/>
      <c r="D30" s="208"/>
      <c r="E30" s="208"/>
      <c r="F30" s="208"/>
      <c r="G30" s="208"/>
      <c r="H30" s="298"/>
      <c r="L30" s="384"/>
      <c r="M30" s="391" t="s">
        <v>609</v>
      </c>
      <c r="N30" s="1540" t="s">
        <v>610</v>
      </c>
      <c r="O30" s="1541"/>
      <c r="P30" s="1538"/>
      <c r="Q30" s="1540" t="s">
        <v>611</v>
      </c>
      <c r="R30" s="1541"/>
      <c r="S30" s="1538"/>
      <c r="T30" s="385"/>
      <c r="U30" s="386"/>
      <c r="X30" s="50"/>
      <c r="Y30" s="3"/>
      <c r="Z30" s="3"/>
      <c r="AA30" s="3"/>
      <c r="AB30" s="3"/>
      <c r="AC30" s="647" t="e">
        <f>AC29*0.01</f>
        <v>#DIV/0!</v>
      </c>
      <c r="AD30" s="519" t="s">
        <v>612</v>
      </c>
      <c r="AE30" s="205"/>
      <c r="AF30" s="3"/>
      <c r="AG30" s="3"/>
      <c r="AH30" s="3"/>
      <c r="AI30" s="3"/>
      <c r="AJ30" s="3"/>
      <c r="AK30" s="3"/>
      <c r="AL30" s="3"/>
      <c r="AM30" s="3"/>
      <c r="AN30" s="3"/>
    </row>
    <row r="31" spans="1:40" ht="15.75" thickBot="1">
      <c r="A31" s="401"/>
      <c r="B31" s="1548"/>
      <c r="C31" s="1548"/>
      <c r="D31" s="1548"/>
      <c r="E31" s="404"/>
      <c r="F31" s="338"/>
      <c r="G31" s="338"/>
      <c r="H31" s="402"/>
      <c r="L31" s="384"/>
      <c r="M31" s="391">
        <v>2000</v>
      </c>
      <c r="N31" s="1537" t="e">
        <f>(U29*U27)/100</f>
        <v>#N/A</v>
      </c>
      <c r="O31" s="1539"/>
      <c r="P31" s="390" t="s">
        <v>612</v>
      </c>
      <c r="Q31" s="1537" t="e">
        <f>((U29*(U27^2))/U28)/100</f>
        <v>#N/A</v>
      </c>
      <c r="R31" s="1538"/>
      <c r="S31" s="390" t="s">
        <v>612</v>
      </c>
      <c r="T31" s="385"/>
      <c r="U31" s="386"/>
      <c r="X31" s="207"/>
      <c r="Y31" s="208"/>
      <c r="Z31" s="208"/>
      <c r="AA31" s="208"/>
      <c r="AB31" s="208"/>
      <c r="AC31" s="208"/>
      <c r="AD31" s="586"/>
      <c r="AE31" s="587"/>
      <c r="AF31" s="3"/>
      <c r="AG31" s="3"/>
      <c r="AH31" s="3"/>
      <c r="AI31" s="3"/>
      <c r="AJ31" s="3"/>
      <c r="AK31" s="3"/>
      <c r="AL31" s="3"/>
      <c r="AM31" s="538"/>
      <c r="AN31" s="519"/>
    </row>
    <row r="32" spans="1:40" ht="15.75" thickBot="1">
      <c r="F32" s="3"/>
      <c r="G32" s="398"/>
      <c r="H32" s="403"/>
      <c r="L32" s="384"/>
      <c r="M32" s="391">
        <v>2010</v>
      </c>
      <c r="N32" s="1537">
        <f>((0.44*U27^0.25)*U27)/100</f>
        <v>0</v>
      </c>
      <c r="O32" s="1539"/>
      <c r="P32" s="390" t="s">
        <v>612</v>
      </c>
      <c r="Q32" s="1537" t="e">
        <f>((0.44*(U27^0.25)*(U27*U27))/U28)/100</f>
        <v>#N/A</v>
      </c>
      <c r="R32" s="1538"/>
      <c r="S32" s="390" t="s">
        <v>612</v>
      </c>
      <c r="T32" s="385"/>
      <c r="U32" s="386"/>
      <c r="X32" s="3"/>
      <c r="Y32" s="3"/>
      <c r="Z32" s="3"/>
      <c r="AA32" s="3"/>
      <c r="AB32" s="3"/>
      <c r="AC32" s="3"/>
      <c r="AD32" s="3"/>
      <c r="AE32" s="3"/>
      <c r="AF32" s="3"/>
      <c r="AG32" s="3"/>
      <c r="AH32" s="3"/>
      <c r="AI32" s="3"/>
      <c r="AJ32" s="3"/>
      <c r="AK32" s="3"/>
      <c r="AL32" s="3"/>
      <c r="AM32" s="3"/>
      <c r="AN32" s="3"/>
    </row>
    <row r="33" spans="2:30" ht="15.75" thickBot="1">
      <c r="B33" s="1438" t="s">
        <v>659</v>
      </c>
      <c r="C33" s="1439"/>
      <c r="D33" s="1439"/>
      <c r="E33" s="1439"/>
      <c r="F33" s="1440"/>
      <c r="G33" s="3"/>
      <c r="L33" s="384"/>
      <c r="M33" s="391">
        <v>2012</v>
      </c>
      <c r="N33" s="1537">
        <f>((0.44*U27^0.25)*U27)/100</f>
        <v>0</v>
      </c>
      <c r="O33" s="1539"/>
      <c r="P33" s="390" t="s">
        <v>612</v>
      </c>
      <c r="Q33" s="1537" t="e">
        <f>(((0.44*(U27^0.25))*(U27*U27))/U28)/100</f>
        <v>#N/A</v>
      </c>
      <c r="R33" s="1538"/>
      <c r="S33" s="390" t="s">
        <v>612</v>
      </c>
      <c r="T33" s="385"/>
      <c r="U33" s="386"/>
    </row>
    <row r="34" spans="2:30" ht="16.5" thickBot="1">
      <c r="B34" s="1553" t="s">
        <v>658</v>
      </c>
      <c r="C34" s="1438" t="s">
        <v>31</v>
      </c>
      <c r="D34" s="1440"/>
      <c r="E34" s="1438" t="s">
        <v>32</v>
      </c>
      <c r="F34" s="1440"/>
      <c r="G34" s="3"/>
      <c r="L34" s="384"/>
      <c r="M34" s="392" t="s">
        <v>619</v>
      </c>
      <c r="N34" s="391">
        <f>N13</f>
        <v>1</v>
      </c>
      <c r="O34" s="387"/>
      <c r="P34" s="387" t="s">
        <v>613</v>
      </c>
      <c r="Q34" s="1537" t="e">
        <f>(1+0.33*(N35/N34))*Q33</f>
        <v>#N/A</v>
      </c>
      <c r="R34" s="1539"/>
      <c r="S34" s="390" t="s">
        <v>612</v>
      </c>
      <c r="T34" s="385"/>
      <c r="U34" s="386"/>
      <c r="X34" s="1530" t="s">
        <v>795</v>
      </c>
      <c r="Y34" s="1531"/>
      <c r="Z34" s="1531"/>
      <c r="AA34" s="1531"/>
      <c r="AB34" s="1531"/>
      <c r="AC34" s="1531"/>
      <c r="AD34" s="1532"/>
    </row>
    <row r="35" spans="2:30" ht="16.5" thickBot="1">
      <c r="B35" s="1554"/>
      <c r="C35" s="439" t="s">
        <v>556</v>
      </c>
      <c r="D35" s="440" t="s">
        <v>560</v>
      </c>
      <c r="E35" s="440" t="s">
        <v>556</v>
      </c>
      <c r="F35" s="440" t="s">
        <v>560</v>
      </c>
      <c r="G35" s="370"/>
      <c r="L35" s="384"/>
      <c r="M35" s="392" t="s">
        <v>618</v>
      </c>
      <c r="N35" s="391">
        <f>N14</f>
        <v>1</v>
      </c>
      <c r="O35" s="387"/>
      <c r="P35" s="387" t="s">
        <v>614</v>
      </c>
      <c r="Q35" s="1537" t="e">
        <f>Q33*((N34+0.305)/N34)^2</f>
        <v>#N/A</v>
      </c>
      <c r="R35" s="1539"/>
      <c r="S35" s="390" t="s">
        <v>612</v>
      </c>
      <c r="T35" s="385"/>
      <c r="U35" s="386"/>
      <c r="X35" s="301"/>
      <c r="Y35" s="657" t="s">
        <v>796</v>
      </c>
      <c r="Z35" s="669"/>
      <c r="AA35" s="668"/>
      <c r="AB35" s="1"/>
      <c r="AC35" s="1"/>
      <c r="AD35" s="421"/>
    </row>
    <row r="36" spans="2:30" ht="15.75" thickBot="1">
      <c r="B36" s="441" t="s">
        <v>46</v>
      </c>
      <c r="C36" s="368">
        <f>(10*Sismik!C9*Sismik!C7*0.1)*(1/100)</f>
        <v>0</v>
      </c>
      <c r="D36" s="165" t="e">
        <f>(((Sismik!C7*Sismik!C7)*Sismik!C9)/Sismik!C6)*(1/100)</f>
        <v>#DIV/0!</v>
      </c>
      <c r="E36" s="167">
        <f>(10*Sismik!D9*Sismik!D7*0.1)*(1/100)</f>
        <v>0</v>
      </c>
      <c r="F36" s="434" t="e">
        <f>(((Sismik!D7*Sismik!D7)*Sismik!D9)/Sismik!D6)*(1/100)</f>
        <v>#DIV/0!</v>
      </c>
      <c r="L36" s="384"/>
      <c r="M36" s="385"/>
      <c r="N36" s="385"/>
      <c r="O36" s="385"/>
      <c r="P36" s="385"/>
      <c r="Q36" s="385"/>
      <c r="R36" s="385"/>
      <c r="S36" s="385"/>
      <c r="T36" s="385"/>
      <c r="U36" s="433"/>
      <c r="X36" s="301"/>
      <c r="Y36" s="659" t="s">
        <v>797</v>
      </c>
      <c r="Z36" s="658"/>
      <c r="AA36" s="668"/>
      <c r="AB36" s="660" t="s">
        <v>798</v>
      </c>
      <c r="AC36" s="1"/>
      <c r="AD36" s="295"/>
    </row>
    <row r="37" spans="2:30" ht="15.75" thickBot="1">
      <c r="B37" s="441" t="s">
        <v>47</v>
      </c>
      <c r="C37" s="368">
        <f>(10*Sismik!C36*Sismik!C34*0.1)*(1/100)</f>
        <v>0</v>
      </c>
      <c r="D37" s="167" t="e">
        <f>(((Sismik!C34*Sismik!C34)*Sismik!C36)/Sismik!C33)*(1/100)</f>
        <v>#DIV/0!</v>
      </c>
      <c r="E37" s="167">
        <f>(10*Sismik!D36*Sismik!D34*0.1)*(1/100)</f>
        <v>0</v>
      </c>
      <c r="F37" s="435" t="e">
        <f>(((Sismik!D34*Sismik!D34)*Sismik!D36)/Sismik!D33)*(1/100)</f>
        <v>#DIV/0!</v>
      </c>
      <c r="L37" s="384"/>
      <c r="M37" s="385"/>
      <c r="N37" s="385"/>
      <c r="O37" s="385"/>
      <c r="P37" s="385"/>
      <c r="Q37" s="385"/>
      <c r="R37" s="385"/>
      <c r="S37" s="385"/>
      <c r="T37" s="432" t="s">
        <v>655</v>
      </c>
      <c r="U37" s="433">
        <f>D213</f>
        <v>0</v>
      </c>
      <c r="X37" s="301"/>
      <c r="Y37" s="657" t="s">
        <v>799</v>
      </c>
      <c r="Z37" s="658"/>
      <c r="AA37" s="668"/>
      <c r="AB37" s="660" t="s">
        <v>798</v>
      </c>
      <c r="AC37" s="1"/>
      <c r="AD37" s="295"/>
    </row>
    <row r="38" spans="2:30" ht="16.5" thickBot="1">
      <c r="B38" s="441" t="s">
        <v>48</v>
      </c>
      <c r="C38" s="368">
        <f>(10*Sismik!C62*Sismik!C60*0.1)*(1/100)</f>
        <v>0</v>
      </c>
      <c r="D38" s="167" t="e">
        <f>(((Sismik!C60*Sismik!C60)*Sismik!C62)/Sismik!C59)*(1/100)</f>
        <v>#DIV/0!</v>
      </c>
      <c r="E38" s="167">
        <f>(10*Sismik!D62*Sismik!D60*0.1)*(1/100)</f>
        <v>0</v>
      </c>
      <c r="F38" s="435" t="e">
        <f>(((Sismik!D60*Sismik!D60)*Sismik!D62)/Sismik!D59)*(1/100)</f>
        <v>#DIV/0!</v>
      </c>
      <c r="L38" s="384"/>
      <c r="M38" s="385"/>
      <c r="N38" s="385"/>
      <c r="O38" s="1558" t="s">
        <v>630</v>
      </c>
      <c r="P38" s="1558"/>
      <c r="Q38" s="1558"/>
      <c r="R38" s="385"/>
      <c r="S38" s="385"/>
      <c r="T38" s="432" t="s">
        <v>656</v>
      </c>
      <c r="U38" s="433" t="e">
        <f>E213</f>
        <v>#N/A</v>
      </c>
      <c r="X38" s="301"/>
      <c r="Y38" s="661" t="s">
        <v>800</v>
      </c>
      <c r="Z38" s="662"/>
      <c r="AA38" s="663"/>
      <c r="AB38" s="1533" t="e">
        <f>(AA35*AA37/40)*(1+(AA36/AA37))</f>
        <v>#DIV/0!</v>
      </c>
      <c r="AC38" s="1534"/>
      <c r="AD38" s="664" t="s">
        <v>801</v>
      </c>
    </row>
    <row r="39" spans="2:30" ht="15.75" thickBot="1">
      <c r="B39" s="441" t="s">
        <v>49</v>
      </c>
      <c r="C39" s="368">
        <f>(10*Sismik!C88*Sismik!C86*0.1)*(1/100)</f>
        <v>0</v>
      </c>
      <c r="D39" s="167" t="e">
        <f>(((Sismik!C86*Sismik!C86)*Sismik!C88)/Sismik!C85)*(1/100)</f>
        <v>#DIV/0!</v>
      </c>
      <c r="E39" s="167">
        <f>(10*Sismik!D88*Sismik!D86*0.1)*(1/100)</f>
        <v>0</v>
      </c>
      <c r="F39" s="435" t="e">
        <f>(((Sismik!D86*Sismik!D86)*Sismik!D88)/Sismik!D85)*(1/100)</f>
        <v>#DIV/0!</v>
      </c>
      <c r="L39" s="384"/>
      <c r="M39" s="393"/>
      <c r="N39" s="385"/>
      <c r="O39" s="385"/>
      <c r="P39" s="385"/>
      <c r="Q39" s="385"/>
      <c r="R39" s="385"/>
      <c r="S39" s="385"/>
      <c r="T39" s="432" t="s">
        <v>657</v>
      </c>
      <c r="U39" s="433" t="e">
        <f>F213</f>
        <v>#N/A</v>
      </c>
      <c r="X39" s="301"/>
      <c r="AA39" s="1"/>
      <c r="AB39" s="1"/>
      <c r="AC39" s="1"/>
      <c r="AD39" s="295"/>
    </row>
    <row r="40" spans="2:30" ht="15.75" thickBot="1">
      <c r="B40" s="441" t="s">
        <v>50</v>
      </c>
      <c r="C40" s="368">
        <f>(10*Sismik!C114*Sismik!C112*0.1)*(1/100)</f>
        <v>0</v>
      </c>
      <c r="D40" s="167" t="e">
        <f>(((Sismik!C112*Sismik!C112)*Sismik!C114)/Sismik!C111)*(1/100)</f>
        <v>#DIV/0!</v>
      </c>
      <c r="E40" s="167">
        <f>(10*Sismik!D114*Sismik!D112*0.1)*(1/100)</f>
        <v>0</v>
      </c>
      <c r="F40" s="435" t="e">
        <f>(((Sismik!D112*Sismik!D112)*Sismik!D114)/Sismik!D111)*(1/100)</f>
        <v>#DIV/0!</v>
      </c>
      <c r="L40" s="384"/>
      <c r="M40" s="391" t="s">
        <v>609</v>
      </c>
      <c r="N40" s="1540" t="s">
        <v>610</v>
      </c>
      <c r="O40" s="1541"/>
      <c r="P40" s="1538"/>
      <c r="Q40" s="1540" t="s">
        <v>611</v>
      </c>
      <c r="R40" s="1541"/>
      <c r="S40" s="1538"/>
      <c r="T40" s="385"/>
      <c r="U40" s="386"/>
      <c r="X40" s="301"/>
      <c r="Y40" s="1"/>
      <c r="Z40" s="1"/>
      <c r="AA40" s="1"/>
      <c r="AB40" s="1"/>
      <c r="AC40" s="1"/>
      <c r="AD40" s="295"/>
    </row>
    <row r="41" spans="2:30" ht="15.75" thickBot="1">
      <c r="B41" s="441" t="s">
        <v>51</v>
      </c>
      <c r="C41" s="436">
        <f>(10*Sismik!C140*Sismik!C138*0.1)*(1/100)</f>
        <v>0</v>
      </c>
      <c r="D41" s="437" t="e">
        <f>(((Sismik!C138*Sismik!C138)*Sismik!C140)/Sismik!C137)*(1/100)</f>
        <v>#DIV/0!</v>
      </c>
      <c r="E41" s="437">
        <f>(10*Sismik!D140*Sismik!D138*0.1)*(1/100)</f>
        <v>0</v>
      </c>
      <c r="F41" s="438" t="e">
        <f>(((Sismik!D138*Sismik!D138)*Sismik!D140)/Sismik!D137)*(1/100)</f>
        <v>#DIV/0!</v>
      </c>
      <c r="L41" s="384"/>
      <c r="M41" s="391">
        <v>2000</v>
      </c>
      <c r="N41" s="1537" t="e">
        <f>(U39*U37)/100</f>
        <v>#N/A</v>
      </c>
      <c r="O41" s="1539"/>
      <c r="P41" s="390" t="s">
        <v>612</v>
      </c>
      <c r="Q41" s="1537" t="e">
        <f>((U39*(U37^2))/U38)/100</f>
        <v>#N/A</v>
      </c>
      <c r="R41" s="1538"/>
      <c r="S41" s="390" t="s">
        <v>612</v>
      </c>
      <c r="T41" s="385"/>
      <c r="U41" s="386"/>
      <c r="X41" s="665"/>
      <c r="Y41" s="666"/>
      <c r="Z41" s="666"/>
      <c r="AA41" s="666"/>
      <c r="AB41" s="666"/>
      <c r="AC41" s="667" t="s">
        <v>802</v>
      </c>
      <c r="AD41" s="298"/>
    </row>
    <row r="42" spans="2:30">
      <c r="L42" s="384"/>
      <c r="M42" s="391">
        <v>2010</v>
      </c>
      <c r="N42" s="1537">
        <f>((0.44*U37^0.25)*U37)/100</f>
        <v>0</v>
      </c>
      <c r="O42" s="1539"/>
      <c r="P42" s="390" t="s">
        <v>612</v>
      </c>
      <c r="Q42" s="1537" t="e">
        <f>((0.44*(U37^0.25)*(U37*U37))/U38)/100</f>
        <v>#N/A</v>
      </c>
      <c r="R42" s="1538"/>
      <c r="S42" s="390" t="s">
        <v>612</v>
      </c>
      <c r="T42" s="385"/>
      <c r="U42" s="386"/>
    </row>
    <row r="43" spans="2:30">
      <c r="L43" s="384"/>
      <c r="M43" s="391">
        <v>2012</v>
      </c>
      <c r="N43" s="1537">
        <f>((0.44*U37^0.25)*U37)/100</f>
        <v>0</v>
      </c>
      <c r="O43" s="1539"/>
      <c r="P43" s="390" t="s">
        <v>612</v>
      </c>
      <c r="Q43" s="1537" t="e">
        <f>((0.44*(U37^0.25)*(U37*U37))/U38)/100</f>
        <v>#N/A</v>
      </c>
      <c r="R43" s="1538"/>
      <c r="S43" s="390" t="s">
        <v>612</v>
      </c>
      <c r="T43" s="385"/>
      <c r="U43" s="386"/>
    </row>
    <row r="44" spans="2:30">
      <c r="B44" s="3"/>
      <c r="C44" s="3"/>
      <c r="D44" s="3"/>
      <c r="E44" s="3"/>
      <c r="F44" s="3"/>
      <c r="G44" s="3"/>
      <c r="H44" s="538"/>
      <c r="I44" s="3"/>
      <c r="L44" s="384"/>
      <c r="M44" s="392" t="s">
        <v>619</v>
      </c>
      <c r="N44" s="391">
        <f>N13</f>
        <v>1</v>
      </c>
      <c r="O44" s="387"/>
      <c r="P44" s="387" t="s">
        <v>613</v>
      </c>
      <c r="Q44" s="1537" t="e">
        <f>(1+0.33*(N45/N44))*Q43</f>
        <v>#N/A</v>
      </c>
      <c r="R44" s="1539"/>
      <c r="S44" s="390" t="s">
        <v>612</v>
      </c>
      <c r="T44" s="385"/>
      <c r="U44" s="386"/>
    </row>
    <row r="45" spans="2:30" ht="15.75">
      <c r="B45" s="3"/>
      <c r="C45" s="1536"/>
      <c r="D45" s="1536"/>
      <c r="E45" s="1536"/>
      <c r="F45" s="1536"/>
      <c r="G45" s="3"/>
      <c r="H45" s="3"/>
      <c r="I45" s="3"/>
      <c r="L45" s="384"/>
      <c r="M45" s="392" t="s">
        <v>618</v>
      </c>
      <c r="N45" s="391">
        <f>N14</f>
        <v>1</v>
      </c>
      <c r="O45" s="387"/>
      <c r="P45" s="387" t="s">
        <v>614</v>
      </c>
      <c r="Q45" s="1537" t="e">
        <f>Q43*((N44+0.305)/N44)^2</f>
        <v>#N/A</v>
      </c>
      <c r="R45" s="1539"/>
      <c r="S45" s="390" t="s">
        <v>612</v>
      </c>
      <c r="T45" s="385"/>
      <c r="U45" s="386"/>
    </row>
    <row r="46" spans="2:30">
      <c r="B46" s="3"/>
      <c r="C46" s="3"/>
      <c r="D46" s="3"/>
      <c r="E46" s="3"/>
      <c r="F46" s="3"/>
      <c r="G46" s="3"/>
      <c r="H46" s="3"/>
      <c r="I46" s="3"/>
      <c r="L46" s="384"/>
      <c r="M46" s="385"/>
      <c r="N46" s="385"/>
      <c r="O46" s="385"/>
      <c r="P46" s="385"/>
      <c r="Q46" s="385"/>
      <c r="R46" s="385"/>
      <c r="S46" s="385"/>
      <c r="T46" s="385"/>
      <c r="U46" s="386"/>
    </row>
    <row r="47" spans="2:30" ht="15.75" thickBot="1">
      <c r="B47" s="3"/>
      <c r="C47" s="3"/>
      <c r="D47" s="582"/>
      <c r="E47" s="3"/>
      <c r="F47" s="3"/>
      <c r="G47" s="3"/>
      <c r="H47" s="3"/>
      <c r="I47" s="3"/>
      <c r="L47" s="394"/>
      <c r="M47" s="395"/>
      <c r="N47" s="395"/>
      <c r="O47" s="395"/>
      <c r="P47" s="395"/>
      <c r="Q47" s="395"/>
      <c r="R47" s="395"/>
      <c r="S47" s="395"/>
      <c r="T47" s="395"/>
      <c r="U47" s="396"/>
    </row>
    <row r="48" spans="2:30">
      <c r="B48" s="3"/>
      <c r="C48" s="1550"/>
      <c r="D48" s="1550"/>
      <c r="E48" s="1550"/>
      <c r="F48" s="597"/>
      <c r="G48" s="3"/>
      <c r="H48" s="3"/>
      <c r="I48" s="3"/>
    </row>
    <row r="49" spans="2:9" ht="15.75">
      <c r="B49" s="3"/>
      <c r="C49" s="1550"/>
      <c r="D49" s="1550"/>
      <c r="E49" s="1550"/>
      <c r="F49" s="597"/>
      <c r="G49" s="583"/>
      <c r="H49" s="583"/>
      <c r="I49" s="583"/>
    </row>
    <row r="50" spans="2:9">
      <c r="B50" s="3"/>
      <c r="C50" s="1550"/>
      <c r="D50" s="1550"/>
      <c r="E50" s="1550"/>
      <c r="F50" s="597"/>
      <c r="G50" s="598"/>
      <c r="H50" s="519"/>
      <c r="I50" s="3"/>
    </row>
    <row r="51" spans="2:9">
      <c r="B51" s="3"/>
      <c r="C51" s="3"/>
      <c r="D51" s="3"/>
      <c r="E51" s="3"/>
      <c r="F51" s="3"/>
      <c r="G51" s="599"/>
      <c r="H51" s="519"/>
      <c r="I51" s="3"/>
    </row>
    <row r="52" spans="2:9">
      <c r="B52" s="3"/>
      <c r="C52" s="3"/>
      <c r="D52" s="3"/>
      <c r="E52" s="3"/>
      <c r="F52" s="3"/>
      <c r="G52" s="3"/>
      <c r="H52" s="3"/>
      <c r="I52" s="3"/>
    </row>
    <row r="54" spans="2:9">
      <c r="H54" s="600"/>
    </row>
    <row r="55" spans="2:9" ht="15.75">
      <c r="C55" s="1552"/>
      <c r="D55" s="1552"/>
      <c r="E55" s="1552"/>
      <c r="F55" s="1552"/>
    </row>
    <row r="57" spans="2:9">
      <c r="D57" s="601"/>
    </row>
    <row r="58" spans="2:9">
      <c r="C58" s="1551"/>
      <c r="D58" s="1551"/>
      <c r="E58" s="1551"/>
      <c r="F58" s="602"/>
    </row>
    <row r="59" spans="2:9" ht="15.75">
      <c r="C59" s="1551"/>
      <c r="D59" s="1551"/>
      <c r="E59" s="1551"/>
      <c r="F59" s="602"/>
      <c r="G59" s="585"/>
      <c r="H59" s="585"/>
      <c r="I59" s="585"/>
    </row>
    <row r="60" spans="2:9">
      <c r="C60" s="1551"/>
      <c r="D60" s="1551"/>
      <c r="E60" s="1551"/>
      <c r="F60" s="602"/>
      <c r="G60" s="603"/>
      <c r="H60" s="370"/>
    </row>
    <row r="62" spans="2:9">
      <c r="H62" s="600"/>
      <c r="I62" s="370"/>
    </row>
    <row r="198" spans="1:17">
      <c r="A198" s="61"/>
      <c r="B198" s="61"/>
      <c r="C198" s="61"/>
      <c r="D198" s="61"/>
      <c r="E198" s="61"/>
      <c r="F198" s="61"/>
      <c r="G198" s="61"/>
      <c r="H198" s="61"/>
      <c r="I198" s="61"/>
      <c r="J198" s="61"/>
      <c r="K198" s="61"/>
      <c r="L198" s="61"/>
      <c r="M198" s="61"/>
      <c r="N198" s="61"/>
      <c r="O198" s="61"/>
      <c r="P198" s="61"/>
      <c r="Q198" s="61"/>
    </row>
    <row r="199" spans="1:17">
      <c r="A199" s="1338" t="s">
        <v>620</v>
      </c>
      <c r="B199" s="1338"/>
      <c r="C199" s="61" t="s">
        <v>624</v>
      </c>
      <c r="D199" s="366" t="s">
        <v>481</v>
      </c>
      <c r="E199" s="366"/>
      <c r="F199" s="61" t="s">
        <v>624</v>
      </c>
      <c r="G199" s="61"/>
      <c r="H199" s="61"/>
      <c r="I199" s="61"/>
      <c r="J199" s="61"/>
      <c r="K199" s="61"/>
      <c r="L199" s="61"/>
      <c r="M199" s="61"/>
      <c r="N199" s="61"/>
      <c r="O199" s="61"/>
      <c r="P199" s="61"/>
      <c r="Q199" s="61"/>
    </row>
    <row r="200" spans="1:17" ht="15.75" thickBot="1">
      <c r="A200" s="366" t="s">
        <v>481</v>
      </c>
      <c r="B200" s="366" t="s">
        <v>360</v>
      </c>
      <c r="C200" s="61"/>
      <c r="D200" s="366" t="s">
        <v>622</v>
      </c>
      <c r="E200" s="366" t="s">
        <v>547</v>
      </c>
      <c r="F200" s="61" t="s">
        <v>625</v>
      </c>
      <c r="G200" s="61"/>
      <c r="H200" s="61"/>
      <c r="I200" s="61"/>
      <c r="J200" s="61"/>
      <c r="K200" s="61"/>
      <c r="L200" s="61"/>
      <c r="M200" s="61"/>
      <c r="N200" s="61"/>
      <c r="O200" s="61"/>
      <c r="P200" s="61"/>
      <c r="Q200" s="61"/>
    </row>
    <row r="201" spans="1:17" ht="18" thickBot="1">
      <c r="A201" s="61" t="b">
        <f>IF(Sismik!C7=0,Sismik!C7="",Sismik!C7)</f>
        <v>1</v>
      </c>
      <c r="B201" s="61">
        <f>Sismik!C6</f>
        <v>0</v>
      </c>
      <c r="C201" s="408" t="str">
        <f>IF(Sismik!C9=0,"",Sismik!C9)</f>
        <v/>
      </c>
      <c r="D201" s="409">
        <f>MIN(A201:A206)</f>
        <v>0</v>
      </c>
      <c r="E201" s="410" t="e">
        <f>VLOOKUP(D201,A201:C206,2,FALSE)</f>
        <v>#N/A</v>
      </c>
      <c r="F201" s="410" t="e">
        <f>VLOOKUP(D201,A201:C206,3,FALSE)</f>
        <v>#N/A</v>
      </c>
      <c r="G201" s="61"/>
      <c r="H201" s="61"/>
      <c r="I201" s="61"/>
      <c r="J201" s="411" t="s">
        <v>626</v>
      </c>
      <c r="K201" s="61"/>
      <c r="L201" s="61"/>
      <c r="M201" s="61"/>
      <c r="N201" s="61"/>
      <c r="O201" s="61"/>
      <c r="P201" s="61"/>
      <c r="Q201" s="61"/>
    </row>
    <row r="202" spans="1:17" ht="15.75" thickBot="1">
      <c r="A202" s="61" t="b">
        <f>IF(Sismik!C34=0,Sismik!C34="",Sismik!C34)</f>
        <v>1</v>
      </c>
      <c r="B202" s="61">
        <f>Sismik!C33</f>
        <v>0</v>
      </c>
      <c r="C202" s="412" t="str">
        <f>IF(Sismik!C36=0,"",Sismik!C36)</f>
        <v/>
      </c>
      <c r="D202" s="366" t="s">
        <v>623</v>
      </c>
      <c r="E202" s="366" t="s">
        <v>547</v>
      </c>
      <c r="F202" s="366"/>
      <c r="G202" s="61"/>
      <c r="H202" s="61"/>
      <c r="I202" s="61"/>
      <c r="J202" s="61"/>
      <c r="K202" s="61"/>
      <c r="L202" s="61"/>
      <c r="M202" s="61"/>
      <c r="N202" s="61"/>
      <c r="O202" s="61"/>
      <c r="P202" s="61"/>
      <c r="Q202" s="61"/>
    </row>
    <row r="203" spans="1:17" ht="15.75" thickBot="1">
      <c r="A203" s="61" t="b">
        <f>IF(Sismik!C60=0,Sismik!C60="",Sismik!C60)</f>
        <v>1</v>
      </c>
      <c r="B203" s="61">
        <f>Sismik!C59</f>
        <v>0</v>
      </c>
      <c r="C203" s="412" t="str">
        <f>IF(Sismik!C62=0,"",Sismik!C62)</f>
        <v/>
      </c>
      <c r="D203" s="409">
        <f>MAX(A201:A206)</f>
        <v>0</v>
      </c>
      <c r="E203" s="410" t="e">
        <f>VLOOKUP(D203,A201:C206,2,FALSE)</f>
        <v>#N/A</v>
      </c>
      <c r="F203" s="410" t="e">
        <f>VLOOKUP(D203,A201:C206,3,FALSE)</f>
        <v>#N/A</v>
      </c>
      <c r="G203" s="61"/>
      <c r="H203" s="61"/>
      <c r="I203" s="61"/>
      <c r="J203" s="61"/>
      <c r="K203" s="61"/>
      <c r="L203" s="61"/>
      <c r="M203" s="61"/>
      <c r="N203" s="61"/>
      <c r="O203" s="61"/>
      <c r="P203" s="61"/>
      <c r="Q203" s="61"/>
    </row>
    <row r="204" spans="1:17">
      <c r="A204" s="61" t="b">
        <f>IF(Sismik!C86=0,Sismik!C86="",Sismik!C86)</f>
        <v>1</v>
      </c>
      <c r="B204" s="61">
        <f>Sismik!C85</f>
        <v>0</v>
      </c>
      <c r="C204" s="412" t="str">
        <f>IF(Sismik!C88=0,"",Sismik!C88)</f>
        <v/>
      </c>
      <c r="D204" s="61"/>
      <c r="E204" s="61"/>
      <c r="F204" s="61"/>
      <c r="G204" s="61"/>
      <c r="H204" s="61"/>
      <c r="I204" s="61"/>
      <c r="J204" s="61"/>
      <c r="K204" s="379" t="b">
        <f>IF(Sismik!C139="",Sismik!C139="",Sismik!C139)</f>
        <v>1</v>
      </c>
      <c r="L204" s="61"/>
      <c r="M204" s="61" t="s">
        <v>631</v>
      </c>
      <c r="N204" s="61"/>
      <c r="O204" s="61"/>
      <c r="P204" s="61"/>
      <c r="Q204" s="61"/>
    </row>
    <row r="205" spans="1:17">
      <c r="A205" s="61" t="b">
        <f>IF(Sismik!C112=0,Sismik!C112="",Sismik!C112)</f>
        <v>1</v>
      </c>
      <c r="B205" s="61">
        <f>Sismik!C111</f>
        <v>0</v>
      </c>
      <c r="C205" s="412" t="str">
        <f>IF(Sismik!C114=0,"",Sismik!C114)</f>
        <v/>
      </c>
      <c r="D205" s="61"/>
      <c r="E205" s="61"/>
      <c r="F205" s="61"/>
      <c r="G205" s="61"/>
      <c r="H205" s="61"/>
      <c r="I205" s="61"/>
      <c r="J205" s="61"/>
      <c r="K205" s="61"/>
      <c r="L205" s="61"/>
      <c r="M205" s="61"/>
      <c r="N205" s="61"/>
      <c r="O205" s="61"/>
      <c r="P205" s="61"/>
      <c r="Q205" s="61"/>
    </row>
    <row r="206" spans="1:17">
      <c r="A206" s="61" t="b">
        <f>IF(Sismik!C138=0,Sismik!C138="",Sismik!C138)</f>
        <v>1</v>
      </c>
      <c r="B206" s="61">
        <f>Sismik!C137</f>
        <v>0</v>
      </c>
      <c r="C206" s="413" t="str">
        <f>IF(Sismik!C140=0,"",Sismik!C140)</f>
        <v/>
      </c>
      <c r="D206" s="61"/>
      <c r="E206" s="61"/>
      <c r="F206" s="61"/>
      <c r="G206" s="61"/>
      <c r="H206" s="61"/>
      <c r="I206" s="61"/>
      <c r="J206" s="61"/>
      <c r="K206" s="61"/>
      <c r="L206" s="61"/>
      <c r="M206" s="61"/>
      <c r="N206" s="61"/>
      <c r="O206" s="61"/>
      <c r="P206" s="61"/>
      <c r="Q206" s="61"/>
    </row>
    <row r="207" spans="1:17">
      <c r="A207" s="61"/>
      <c r="B207" s="61"/>
      <c r="C207" s="366"/>
      <c r="D207" s="61"/>
      <c r="E207" s="61"/>
      <c r="F207" s="61"/>
      <c r="G207" s="61"/>
      <c r="H207" s="61"/>
      <c r="I207" s="61"/>
      <c r="J207" s="61"/>
      <c r="K207" s="61"/>
      <c r="L207" s="61"/>
      <c r="M207" s="61"/>
      <c r="N207" s="61"/>
      <c r="O207" s="61"/>
      <c r="P207" s="61"/>
      <c r="Q207" s="61"/>
    </row>
    <row r="208" spans="1:17">
      <c r="A208" s="1338" t="s">
        <v>621</v>
      </c>
      <c r="B208" s="1338"/>
      <c r="C208" s="366"/>
      <c r="D208" s="61"/>
      <c r="E208" s="61"/>
      <c r="F208" s="61"/>
      <c r="G208" s="61"/>
      <c r="H208" s="61"/>
      <c r="I208" s="61"/>
      <c r="J208" s="61"/>
      <c r="K208" s="61"/>
      <c r="L208" s="61"/>
      <c r="M208" s="61"/>
      <c r="N208" s="61"/>
      <c r="O208" s="61"/>
      <c r="P208" s="61"/>
      <c r="Q208" s="61"/>
    </row>
    <row r="209" spans="1:17">
      <c r="A209" s="61" t="b">
        <f>IF(Sismik!D7=0,Sismik!D7="",Sismik!D7)</f>
        <v>1</v>
      </c>
      <c r="B209" s="61">
        <f>Sismik!D6</f>
        <v>0</v>
      </c>
      <c r="C209" s="408" t="str">
        <f>IF(Sismik!D9=0,"",Sismik!D9)</f>
        <v/>
      </c>
      <c r="D209" s="366" t="s">
        <v>481</v>
      </c>
      <c r="E209" s="366"/>
      <c r="F209" s="61" t="s">
        <v>624</v>
      </c>
      <c r="G209" s="61"/>
      <c r="H209" s="61"/>
      <c r="I209" s="61"/>
      <c r="J209" s="61"/>
      <c r="K209" s="61"/>
      <c r="L209" s="61"/>
      <c r="M209" s="61"/>
      <c r="N209" s="61"/>
      <c r="O209" s="61"/>
      <c r="P209" s="61"/>
      <c r="Q209" s="61"/>
    </row>
    <row r="210" spans="1:17" ht="15.75" thickBot="1">
      <c r="A210" s="61" t="b">
        <f>IF(Sismik!D34=0,Sismik!D34="",Sismik!D34)</f>
        <v>1</v>
      </c>
      <c r="B210" s="61">
        <f>Sismik!D33</f>
        <v>0</v>
      </c>
      <c r="C210" s="412" t="str">
        <f>IF(Sismik!D36=0,"",Sismik!D36)</f>
        <v/>
      </c>
      <c r="D210" s="366" t="s">
        <v>622</v>
      </c>
      <c r="E210" s="366" t="s">
        <v>547</v>
      </c>
      <c r="F210" s="61" t="s">
        <v>625</v>
      </c>
      <c r="G210" s="61"/>
      <c r="H210" s="61"/>
      <c r="I210" s="61"/>
      <c r="J210" s="61"/>
      <c r="K210" s="61"/>
      <c r="L210" s="61"/>
      <c r="M210" s="61"/>
      <c r="N210" s="61"/>
      <c r="O210" s="61"/>
      <c r="P210" s="61"/>
      <c r="Q210" s="61"/>
    </row>
    <row r="211" spans="1:17" ht="15.75" thickBot="1">
      <c r="A211" s="61" t="b">
        <f>IF(Sismik!D60=0,Sismik!D60="",Sismik!D60)</f>
        <v>1</v>
      </c>
      <c r="B211" s="61">
        <f>Sismik!D59</f>
        <v>0</v>
      </c>
      <c r="C211" s="412" t="str">
        <f>IF(Sismik!D62=0,"",Sismik!D62)</f>
        <v/>
      </c>
      <c r="D211" s="409">
        <f>MIN(A209:A214)</f>
        <v>0</v>
      </c>
      <c r="E211" s="410" t="e">
        <f>VLOOKUP(D211,A209:C214,2,FALSE)</f>
        <v>#N/A</v>
      </c>
      <c r="F211" s="410" t="e">
        <f>VLOOKUP(D211,A209:C214,3,FALSE)</f>
        <v>#N/A</v>
      </c>
      <c r="G211" s="61"/>
      <c r="H211" s="61"/>
      <c r="I211" s="61"/>
      <c r="J211" s="61"/>
      <c r="K211" s="61"/>
      <c r="L211" s="61"/>
      <c r="M211" s="61"/>
      <c r="N211" s="61"/>
      <c r="O211" s="61"/>
      <c r="P211" s="61"/>
      <c r="Q211" s="61"/>
    </row>
    <row r="212" spans="1:17" ht="15.75" thickBot="1">
      <c r="A212" s="61" t="b">
        <f>IF(Sismik!D86=0,Sismik!D86="",Sismik!D86)</f>
        <v>1</v>
      </c>
      <c r="B212" s="61">
        <f>Sismik!D85</f>
        <v>0</v>
      </c>
      <c r="C212" s="412" t="str">
        <f>IF(Sismik!D88=0,"",Sismik!D88)</f>
        <v/>
      </c>
      <c r="D212" s="366" t="s">
        <v>623</v>
      </c>
      <c r="E212" s="366" t="s">
        <v>547</v>
      </c>
      <c r="F212" s="366"/>
      <c r="G212" s="61"/>
      <c r="H212" s="61"/>
      <c r="I212" s="61"/>
      <c r="J212" s="61"/>
      <c r="K212" s="61"/>
      <c r="L212" s="61"/>
      <c r="M212" s="61"/>
      <c r="N212" s="61"/>
      <c r="O212" s="61"/>
      <c r="P212" s="61"/>
      <c r="Q212" s="61"/>
    </row>
    <row r="213" spans="1:17" ht="15.75" thickBot="1">
      <c r="A213" s="61" t="b">
        <f>IF(Sismik!D112=0,Sismik!D112="",Sismik!D112)</f>
        <v>1</v>
      </c>
      <c r="B213" s="61">
        <f>Sismik!D111</f>
        <v>0</v>
      </c>
      <c r="C213" s="412" t="str">
        <f>IF(Sismik!D114=0,"",Sismik!D114)</f>
        <v/>
      </c>
      <c r="D213" s="409">
        <f>MAX(A209:A214)</f>
        <v>0</v>
      </c>
      <c r="E213" s="410" t="e">
        <f>VLOOKUP(D213,A209:C214,2,FALSE)</f>
        <v>#N/A</v>
      </c>
      <c r="F213" s="410" t="e">
        <f>VLOOKUP(D213,A209:C214,3,FALSE)</f>
        <v>#N/A</v>
      </c>
      <c r="G213" s="61"/>
      <c r="H213" s="61"/>
      <c r="I213" s="61"/>
      <c r="J213" s="61"/>
      <c r="K213" s="61"/>
      <c r="L213" s="61"/>
      <c r="M213" s="61"/>
      <c r="N213" s="61"/>
      <c r="O213" s="61"/>
      <c r="P213" s="61"/>
      <c r="Q213" s="61"/>
    </row>
    <row r="214" spans="1:17">
      <c r="A214" s="61" t="b">
        <f>IF(Sismik!D138=0,Sismik!D138="",Sismik!D138)</f>
        <v>1</v>
      </c>
      <c r="B214" s="61">
        <f>Sismik!D137</f>
        <v>0</v>
      </c>
      <c r="C214" s="413" t="str">
        <f>IF(Sismik!D140=0,"",Sismik!D140)</f>
        <v/>
      </c>
      <c r="D214" s="61"/>
      <c r="E214" s="61"/>
      <c r="F214" s="61"/>
      <c r="G214" s="61"/>
      <c r="H214" s="61"/>
      <c r="I214" s="61"/>
      <c r="J214" s="61"/>
      <c r="K214" s="61"/>
      <c r="L214" s="61"/>
      <c r="M214" s="61"/>
      <c r="N214" s="61"/>
      <c r="O214" s="61"/>
      <c r="P214" s="61"/>
      <c r="Q214" s="61"/>
    </row>
    <row r="215" spans="1:17">
      <c r="A215" s="61"/>
      <c r="B215" s="61"/>
      <c r="C215" s="414"/>
      <c r="D215" s="61"/>
      <c r="E215" s="61"/>
      <c r="F215" s="61"/>
      <c r="G215" s="61"/>
      <c r="H215" s="61"/>
      <c r="I215" s="61"/>
      <c r="J215" s="61"/>
      <c r="K215" s="61"/>
      <c r="L215" s="61"/>
      <c r="M215" s="61"/>
      <c r="N215" s="61"/>
      <c r="O215" s="61"/>
      <c r="P215" s="61"/>
      <c r="Q215" s="61"/>
    </row>
    <row r="216" spans="1:17">
      <c r="A216" s="61"/>
      <c r="B216" s="61"/>
      <c r="C216" s="61"/>
      <c r="D216" s="61"/>
      <c r="E216" s="61"/>
      <c r="F216" s="61"/>
      <c r="G216" s="61"/>
      <c r="H216" s="61"/>
      <c r="I216" s="61"/>
      <c r="J216" s="61"/>
      <c r="K216" s="61"/>
      <c r="L216" s="61"/>
      <c r="M216" s="61"/>
      <c r="N216" s="61"/>
      <c r="O216" s="61"/>
      <c r="P216" s="61"/>
      <c r="Q216" s="61"/>
    </row>
    <row r="217" spans="1:17">
      <c r="A217" s="61"/>
      <c r="B217" s="61"/>
      <c r="C217" s="61"/>
      <c r="D217" s="61"/>
      <c r="E217" s="61"/>
      <c r="F217" s="61"/>
      <c r="G217" s="61"/>
      <c r="H217" s="61"/>
      <c r="I217" s="61"/>
      <c r="J217" s="61"/>
      <c r="K217" s="61"/>
      <c r="L217" s="61"/>
      <c r="M217" s="61"/>
      <c r="N217" s="61"/>
      <c r="O217" s="61"/>
      <c r="P217" s="61"/>
      <c r="Q217" s="61"/>
    </row>
    <row r="218" spans="1:17">
      <c r="A218" s="61"/>
      <c r="B218" s="61"/>
      <c r="C218" s="61"/>
      <c r="D218" s="61"/>
      <c r="E218" s="61"/>
      <c r="F218" s="61"/>
      <c r="G218" s="61"/>
      <c r="H218" s="61"/>
      <c r="I218" s="61"/>
      <c r="J218" s="61"/>
      <c r="K218" s="61"/>
      <c r="L218" s="61"/>
      <c r="M218" s="61"/>
      <c r="N218" s="61"/>
      <c r="O218" s="61"/>
      <c r="P218" s="61"/>
      <c r="Q218" s="61"/>
    </row>
  </sheetData>
  <sheetProtection password="EF3A" sheet="1" objects="1" scenarios="1"/>
  <mergeCells count="113">
    <mergeCell ref="B34:B35"/>
    <mergeCell ref="B33:F33"/>
    <mergeCell ref="Q45:R45"/>
    <mergeCell ref="C45:F45"/>
    <mergeCell ref="L4:U4"/>
    <mergeCell ref="O38:Q38"/>
    <mergeCell ref="N40:P40"/>
    <mergeCell ref="Q40:S40"/>
    <mergeCell ref="N41:O41"/>
    <mergeCell ref="Q41:R41"/>
    <mergeCell ref="Q34:R34"/>
    <mergeCell ref="Q35:R35"/>
    <mergeCell ref="O7:Q7"/>
    <mergeCell ref="O18:Q18"/>
    <mergeCell ref="O28:Q28"/>
    <mergeCell ref="N31:O31"/>
    <mergeCell ref="C34:D34"/>
    <mergeCell ref="E34:F34"/>
    <mergeCell ref="N33:O33"/>
    <mergeCell ref="Q33:R33"/>
    <mergeCell ref="N30:P30"/>
    <mergeCell ref="Q30:S30"/>
    <mergeCell ref="Q11:R11"/>
    <mergeCell ref="Q12:R12"/>
    <mergeCell ref="A199:B199"/>
    <mergeCell ref="A208:B208"/>
    <mergeCell ref="N42:O42"/>
    <mergeCell ref="Q42:R42"/>
    <mergeCell ref="N43:O43"/>
    <mergeCell ref="Q43:R43"/>
    <mergeCell ref="Q44:R44"/>
    <mergeCell ref="C48:E48"/>
    <mergeCell ref="C49:E49"/>
    <mergeCell ref="C50:E50"/>
    <mergeCell ref="C60:E60"/>
    <mergeCell ref="C55:F55"/>
    <mergeCell ref="C58:E58"/>
    <mergeCell ref="C59:E59"/>
    <mergeCell ref="B28:D28"/>
    <mergeCell ref="B31:D31"/>
    <mergeCell ref="B25:D25"/>
    <mergeCell ref="H10:I10"/>
    <mergeCell ref="B22:D22"/>
    <mergeCell ref="E22:F22"/>
    <mergeCell ref="N10:O10"/>
    <mergeCell ref="N20:P20"/>
    <mergeCell ref="N21:O21"/>
    <mergeCell ref="I14:J15"/>
    <mergeCell ref="N32:O32"/>
    <mergeCell ref="Q32:R32"/>
    <mergeCell ref="Q31:R31"/>
    <mergeCell ref="Q25:R25"/>
    <mergeCell ref="N22:O22"/>
    <mergeCell ref="Q22:R22"/>
    <mergeCell ref="N23:O23"/>
    <mergeCell ref="Q23:R23"/>
    <mergeCell ref="Q24:R24"/>
    <mergeCell ref="B7:E7"/>
    <mergeCell ref="F7:G7"/>
    <mergeCell ref="H7:I7"/>
    <mergeCell ref="B8:E8"/>
    <mergeCell ref="F8:G8"/>
    <mergeCell ref="H8:I8"/>
    <mergeCell ref="B10:E10"/>
    <mergeCell ref="F10:G10"/>
    <mergeCell ref="B9:E9"/>
    <mergeCell ref="F9:G9"/>
    <mergeCell ref="H9:I9"/>
    <mergeCell ref="B3:I3"/>
    <mergeCell ref="B4:E4"/>
    <mergeCell ref="F4:G4"/>
    <mergeCell ref="H4:I4"/>
    <mergeCell ref="B5:E5"/>
    <mergeCell ref="F5:G5"/>
    <mergeCell ref="H5:I5"/>
    <mergeCell ref="B6:E6"/>
    <mergeCell ref="F6:G6"/>
    <mergeCell ref="H6:I6"/>
    <mergeCell ref="AG8:AH8"/>
    <mergeCell ref="AI8:AJ8"/>
    <mergeCell ref="AK8:AL8"/>
    <mergeCell ref="AG9:AH9"/>
    <mergeCell ref="AI9:AJ9"/>
    <mergeCell ref="AK9:AL9"/>
    <mergeCell ref="AG24:AH25"/>
    <mergeCell ref="Q10:R10"/>
    <mergeCell ref="N11:O11"/>
    <mergeCell ref="N12:O12"/>
    <mergeCell ref="AG11:AH11"/>
    <mergeCell ref="Q20:S20"/>
    <mergeCell ref="Q21:R21"/>
    <mergeCell ref="AK11:AL11"/>
    <mergeCell ref="Z12:AA12"/>
    <mergeCell ref="AK12:AL12"/>
    <mergeCell ref="Z13:AA13"/>
    <mergeCell ref="AB13:AC13"/>
    <mergeCell ref="Y14:AA14"/>
    <mergeCell ref="AB14:AC14"/>
    <mergeCell ref="Q13:R13"/>
    <mergeCell ref="Q14:R14"/>
    <mergeCell ref="N9:P9"/>
    <mergeCell ref="Q9:S9"/>
    <mergeCell ref="X34:AD34"/>
    <mergeCell ref="AB38:AC38"/>
    <mergeCell ref="Y29:AA29"/>
    <mergeCell ref="Y16:AA16"/>
    <mergeCell ref="Y17:AA17"/>
    <mergeCell ref="AB20:AE20"/>
    <mergeCell ref="Y24:AB24"/>
    <mergeCell ref="Y15:AA15"/>
    <mergeCell ref="Z11:AA11"/>
    <mergeCell ref="Y28:AA28"/>
    <mergeCell ref="Y27:AA27"/>
  </mergeCells>
  <conditionalFormatting sqref="A20:E20 A21:G31 A18:G19 G20 F32:G32 G33:G34 B34:C34 C35:D35 B36:B41">
    <cfRule type="cellIs" dxfId="79" priority="74" operator="equal">
      <formula>0</formula>
    </cfRule>
  </conditionalFormatting>
  <conditionalFormatting sqref="A19:F19 A20:E20 A21:F31 F32 B34:C34 C35:D35 B36:B41">
    <cfRule type="containsErrors" dxfId="78" priority="75">
      <formula>ISERROR(A19)</formula>
    </cfRule>
  </conditionalFormatting>
  <conditionalFormatting sqref="B20:E20 B21:F29">
    <cfRule type="cellIs" dxfId="77" priority="54" operator="equal">
      <formula>0</formula>
    </cfRule>
    <cfRule type="containsErrors" dxfId="76" priority="76">
      <formula>ISERROR(B20)</formula>
    </cfRule>
  </conditionalFormatting>
  <conditionalFormatting sqref="C14:C17">
    <cfRule type="notContainsBlanks" dxfId="75" priority="17">
      <formula>LEN(TRIM(C14))&gt;0</formula>
    </cfRule>
  </conditionalFormatting>
  <conditionalFormatting sqref="C20">
    <cfRule type="containsErrors" dxfId="74" priority="13">
      <formula>ISERROR(C20)</formula>
    </cfRule>
  </conditionalFormatting>
  <conditionalFormatting sqref="C36:F41">
    <cfRule type="cellIs" dxfId="73" priority="18" operator="equal">
      <formula>0</formula>
    </cfRule>
    <cfRule type="containsErrors" dxfId="72" priority="19">
      <formula>ISERROR(C36)</formula>
    </cfRule>
  </conditionalFormatting>
  <conditionalFormatting sqref="E28:E29">
    <cfRule type="containsErrors" dxfId="71" priority="12">
      <formula>ISERROR(E28)</formula>
    </cfRule>
  </conditionalFormatting>
  <conditionalFormatting sqref="E34 E35:F35">
    <cfRule type="cellIs" dxfId="70" priority="28" operator="equal">
      <formula>0</formula>
    </cfRule>
    <cfRule type="containsErrors" dxfId="69" priority="29">
      <formula>ISERROR(E34)</formula>
    </cfRule>
  </conditionalFormatting>
  <conditionalFormatting sqref="F20">
    <cfRule type="containsErrors" dxfId="68" priority="14">
      <formula>ISERROR(F20)</formula>
    </cfRule>
    <cfRule type="notContainsBlanks" dxfId="67" priority="15">
      <formula>LEN(TRIM(F20))&gt;0</formula>
    </cfRule>
  </conditionalFormatting>
  <conditionalFormatting sqref="L20:S47">
    <cfRule type="cellIs" dxfId="66" priority="58" operator="equal">
      <formula>0</formula>
    </cfRule>
    <cfRule type="containsErrors" dxfId="65" priority="59">
      <formula>ISERROR(L20)</formula>
    </cfRule>
  </conditionalFormatting>
  <conditionalFormatting sqref="N11:O12">
    <cfRule type="cellIs" dxfId="64" priority="60" operator="equal">
      <formula>0</formula>
    </cfRule>
  </conditionalFormatting>
  <conditionalFormatting sqref="N10:R14">
    <cfRule type="containsErrors" dxfId="63" priority="61">
      <formula>ISERROR(N10)</formula>
    </cfRule>
  </conditionalFormatting>
  <conditionalFormatting sqref="U6:U47">
    <cfRule type="cellIs" dxfId="62" priority="56" operator="equal">
      <formula>0</formula>
    </cfRule>
    <cfRule type="containsErrors" dxfId="61" priority="57">
      <formula>ISERROR(U6)</formula>
    </cfRule>
  </conditionalFormatting>
  <conditionalFormatting sqref="AB11:AB12">
    <cfRule type="notContainsBlanks" dxfId="60" priority="11">
      <formula>LEN(TRIM(AB11))&gt;0</formula>
    </cfRule>
  </conditionalFormatting>
  <conditionalFormatting sqref="AB15:AB16">
    <cfRule type="containsErrors" dxfId="59" priority="10">
      <formula>ISERROR(AB15)</formula>
    </cfRule>
  </conditionalFormatting>
  <conditionalFormatting sqref="AB19">
    <cfRule type="containsErrors" dxfId="58" priority="77">
      <formula>ISERROR(AB19)</formula>
    </cfRule>
  </conditionalFormatting>
  <conditionalFormatting sqref="AB27:AB29">
    <cfRule type="notContainsBlanks" dxfId="57" priority="2">
      <formula>LEN(TRIM(AB27))&gt;0</formula>
    </cfRule>
  </conditionalFormatting>
  <conditionalFormatting sqref="AB38:AC38">
    <cfRule type="containsErrors" dxfId="56" priority="1">
      <formula>ISERROR(AB38)</formula>
    </cfRule>
  </conditionalFormatting>
  <conditionalFormatting sqref="AB20:AE20">
    <cfRule type="containsErrors" dxfId="55" priority="6">
      <formula>ISERROR(AB20)</formula>
    </cfRule>
  </conditionalFormatting>
  <conditionalFormatting sqref="AC29:AC30">
    <cfRule type="containsErrors" dxfId="54" priority="3">
      <formula>ISERROR(AC29)</formula>
    </cfRule>
  </conditionalFormatting>
  <conditionalFormatting sqref="AG11:AH11">
    <cfRule type="containsErrors" dxfId="53" priority="5">
      <formula>ISERROR(AG11)</formula>
    </cfRule>
  </conditionalFormatting>
  <conditionalFormatting sqref="AG9:AL9">
    <cfRule type="notContainsBlanks" dxfId="52" priority="9">
      <formula>LEN(TRIM(AG9))&gt;0</formula>
    </cfRule>
  </conditionalFormatting>
  <conditionalFormatting sqref="AK12:AL12">
    <cfRule type="notContainsBlanks" dxfId="51" priority="8">
      <formula>LEN(TRIM(AK12))&gt;0</formula>
    </cfRule>
  </conditionalFormatting>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5"/>
  <dimension ref="A1:Q9"/>
  <sheetViews>
    <sheetView showGridLines="0" showRowColHeaders="0" workbookViewId="0">
      <selection activeCell="H11" sqref="H11"/>
    </sheetView>
  </sheetViews>
  <sheetFormatPr defaultRowHeight="15"/>
  <cols>
    <col min="1" max="11" width="9.140625" style="3"/>
    <col min="12" max="12" width="9.140625" style="3" customWidth="1"/>
    <col min="13" max="13" width="4.5703125" style="3" customWidth="1"/>
    <col min="14" max="16384" width="9.140625" style="3"/>
  </cols>
  <sheetData>
    <row r="1" spans="1:17" ht="21">
      <c r="A1" s="1572" t="s">
        <v>103</v>
      </c>
      <c r="B1" s="1573"/>
      <c r="C1" s="1573"/>
      <c r="D1" s="1573"/>
      <c r="E1" s="1573"/>
      <c r="F1" s="1574"/>
      <c r="H1" s="1561" t="s">
        <v>505</v>
      </c>
      <c r="I1" s="1562"/>
      <c r="J1" s="1562"/>
      <c r="K1" s="1563"/>
      <c r="L1" s="307"/>
      <c r="M1" s="1559" t="s">
        <v>510</v>
      </c>
      <c r="N1" s="1559"/>
      <c r="O1" s="1559"/>
      <c r="P1" s="1559"/>
      <c r="Q1" s="1560"/>
    </row>
    <row r="2" spans="1:17" ht="15" customHeight="1">
      <c r="A2" s="198"/>
      <c r="B2" s="1571" t="s">
        <v>230</v>
      </c>
      <c r="C2" s="1571"/>
      <c r="D2" s="1571" t="s">
        <v>231</v>
      </c>
      <c r="E2" s="1571"/>
      <c r="F2" s="199"/>
      <c r="H2" s="306" t="s">
        <v>360</v>
      </c>
      <c r="I2" s="654"/>
      <c r="J2" s="1564" t="s">
        <v>515</v>
      </c>
      <c r="K2" s="1565"/>
      <c r="M2" s="306" t="s">
        <v>514</v>
      </c>
      <c r="N2" s="306" t="s">
        <v>511</v>
      </c>
      <c r="O2" s="306" t="s">
        <v>512</v>
      </c>
      <c r="P2" s="863" t="s">
        <v>513</v>
      </c>
      <c r="Q2" s="872"/>
    </row>
    <row r="3" spans="1:17" ht="15" customHeight="1">
      <c r="A3" s="200" t="s">
        <v>46</v>
      </c>
      <c r="B3" s="1570">
        <f>4*Sismik!C9*Sismik!C7</f>
        <v>0</v>
      </c>
      <c r="C3" s="1570"/>
      <c r="D3" s="1570">
        <f>4*Sismik!D9*Sismik!D7</f>
        <v>0</v>
      </c>
      <c r="E3" s="1570"/>
      <c r="F3" s="199"/>
      <c r="H3" s="306" t="s">
        <v>506</v>
      </c>
      <c r="I3" s="654"/>
      <c r="J3" s="1566" t="e">
        <f>I4*(I3^2)/I2</f>
        <v>#DIV/0!</v>
      </c>
      <c r="K3" s="1567"/>
      <c r="M3" s="306" t="s">
        <v>46</v>
      </c>
      <c r="N3" s="314">
        <f>Sismik!C7</f>
        <v>0</v>
      </c>
      <c r="O3" s="314">
        <f>Sismik!D7</f>
        <v>0</v>
      </c>
      <c r="P3" s="313">
        <f t="shared" ref="P3:Q8" si="0">(N3/134)^(1/0.443)</f>
        <v>0</v>
      </c>
      <c r="Q3" s="313">
        <f t="shared" si="0"/>
        <v>0</v>
      </c>
    </row>
    <row r="4" spans="1:17" ht="15" customHeight="1">
      <c r="A4" s="200" t="s">
        <v>47</v>
      </c>
      <c r="B4" s="1570">
        <f>4*Sismik!C36*Sismik!C34</f>
        <v>0</v>
      </c>
      <c r="C4" s="1570"/>
      <c r="D4" s="1570">
        <f>4*Sismik!D36*Sismik!D34</f>
        <v>0</v>
      </c>
      <c r="E4" s="1570"/>
      <c r="F4" s="199"/>
      <c r="H4" s="306" t="s">
        <v>507</v>
      </c>
      <c r="I4" s="654"/>
      <c r="J4" s="1568"/>
      <c r="K4" s="1569"/>
      <c r="M4" s="306" t="s">
        <v>47</v>
      </c>
      <c r="N4" s="314">
        <f>Sismik!C34</f>
        <v>0</v>
      </c>
      <c r="O4" s="314">
        <f>Sismik!D34</f>
        <v>0</v>
      </c>
      <c r="P4" s="313">
        <f t="shared" si="0"/>
        <v>0</v>
      </c>
      <c r="Q4" s="313">
        <f t="shared" si="0"/>
        <v>0</v>
      </c>
    </row>
    <row r="5" spans="1:17">
      <c r="A5" s="200" t="s">
        <v>48</v>
      </c>
      <c r="B5" s="1570">
        <f>4*Sismik!C62*Sismik!C60</f>
        <v>0</v>
      </c>
      <c r="C5" s="1570"/>
      <c r="D5" s="1570">
        <f>4*Sismik!D62*Sismik!D60</f>
        <v>0</v>
      </c>
      <c r="E5" s="1570"/>
      <c r="F5" s="199"/>
      <c r="M5" s="306" t="s">
        <v>48</v>
      </c>
      <c r="N5" s="314">
        <f>Sismik!C60</f>
        <v>0</v>
      </c>
      <c r="O5" s="314">
        <f>Sismik!D60</f>
        <v>0</v>
      </c>
      <c r="P5" s="313">
        <f t="shared" si="0"/>
        <v>0</v>
      </c>
      <c r="Q5" s="313">
        <f t="shared" si="0"/>
        <v>0</v>
      </c>
    </row>
    <row r="6" spans="1:17">
      <c r="A6" s="200" t="s">
        <v>49</v>
      </c>
      <c r="B6" s="1570">
        <f>4*Sismik!C88*Sismik!C86</f>
        <v>0</v>
      </c>
      <c r="C6" s="1570"/>
      <c r="D6" s="1570">
        <f>4*Sismik!D88*Sismik!D86</f>
        <v>0</v>
      </c>
      <c r="E6" s="1570"/>
      <c r="F6" s="199"/>
      <c r="M6" s="306" t="s">
        <v>49</v>
      </c>
      <c r="N6" s="314">
        <f>Sismik!C86</f>
        <v>0</v>
      </c>
      <c r="O6" s="314">
        <f>Sismik!D86</f>
        <v>0</v>
      </c>
      <c r="P6" s="313">
        <f t="shared" si="0"/>
        <v>0</v>
      </c>
      <c r="Q6" s="313">
        <f t="shared" si="0"/>
        <v>0</v>
      </c>
    </row>
    <row r="7" spans="1:17">
      <c r="A7" s="200" t="s">
        <v>50</v>
      </c>
      <c r="B7" s="1570">
        <f>4*Sismik!C114*Sismik!C112</f>
        <v>0</v>
      </c>
      <c r="C7" s="1570"/>
      <c r="D7" s="1570">
        <f>4*Sismik!D114*Sismik!D112</f>
        <v>0</v>
      </c>
      <c r="E7" s="1570"/>
      <c r="F7" s="199"/>
      <c r="M7" s="306" t="s">
        <v>50</v>
      </c>
      <c r="N7" s="314">
        <f>Sismik!C112</f>
        <v>0</v>
      </c>
      <c r="O7" s="314">
        <f>Sismik!D112</f>
        <v>0</v>
      </c>
      <c r="P7" s="313">
        <f t="shared" si="0"/>
        <v>0</v>
      </c>
      <c r="Q7" s="313">
        <f t="shared" si="0"/>
        <v>0</v>
      </c>
    </row>
    <row r="8" spans="1:17">
      <c r="A8" s="200" t="s">
        <v>51</v>
      </c>
      <c r="B8" s="1570">
        <f>4*Sismik!C140*Sismik!C138</f>
        <v>0</v>
      </c>
      <c r="C8" s="1570"/>
      <c r="D8" s="1570">
        <f>4*Sismik!D140*Sismik!D138</f>
        <v>0</v>
      </c>
      <c r="E8" s="1570"/>
      <c r="F8" s="199"/>
      <c r="M8" s="306" t="s">
        <v>51</v>
      </c>
      <c r="N8" s="314">
        <f>Sismik!C138</f>
        <v>0</v>
      </c>
      <c r="O8" s="314">
        <f>Sismik!D138</f>
        <v>0</v>
      </c>
      <c r="P8" s="313">
        <f t="shared" si="0"/>
        <v>0</v>
      </c>
      <c r="Q8" s="313">
        <f t="shared" si="0"/>
        <v>0</v>
      </c>
    </row>
    <row r="9" spans="1:17" ht="15.75" thickBot="1">
      <c r="A9" s="201"/>
      <c r="B9" s="202"/>
      <c r="C9" s="202"/>
      <c r="D9" s="202"/>
      <c r="E9" s="202"/>
      <c r="F9" s="203"/>
    </row>
  </sheetData>
  <sheetProtection algorithmName="SHA-512" hashValue="zvpijcLKKyZ8q4MimX62v2qkPr/MddbdU1bXv7oGMy3X2Vuv1X3gCCKpk6jCZFHXiCc3+JPr/u9EvSnAOke+6w==" saltValue="M/cNLgk6fQyBriIwVokVzA==" spinCount="100000" sheet="1" objects="1" scenarios="1"/>
  <mergeCells count="20">
    <mergeCell ref="B2:C2"/>
    <mergeCell ref="D2:E2"/>
    <mergeCell ref="A1:F1"/>
    <mergeCell ref="D4:E4"/>
    <mergeCell ref="D5:E5"/>
    <mergeCell ref="D6:E6"/>
    <mergeCell ref="D7:E7"/>
    <mergeCell ref="D8:E8"/>
    <mergeCell ref="B8:C8"/>
    <mergeCell ref="B3:C3"/>
    <mergeCell ref="D3:E3"/>
    <mergeCell ref="B4:C4"/>
    <mergeCell ref="B5:C5"/>
    <mergeCell ref="B6:C6"/>
    <mergeCell ref="B7:C7"/>
    <mergeCell ref="P2:Q2"/>
    <mergeCell ref="M1:Q1"/>
    <mergeCell ref="H1:K1"/>
    <mergeCell ref="J2:K2"/>
    <mergeCell ref="J3:K4"/>
  </mergeCells>
  <conditionalFormatting sqref="A1:F9">
    <cfRule type="containsErrors" dxfId="50" priority="4">
      <formula>ISERROR(A1)</formula>
    </cfRule>
  </conditionalFormatting>
  <conditionalFormatting sqref="B3:E8">
    <cfRule type="cellIs" dxfId="49" priority="5" operator="equal">
      <formula>0</formula>
    </cfRule>
  </conditionalFormatting>
  <conditionalFormatting sqref="I2:I4">
    <cfRule type="notContainsBlanks" dxfId="48" priority="1">
      <formula>LEN(TRIM(I2))&gt;0</formula>
    </cfRule>
  </conditionalFormatting>
  <conditionalFormatting sqref="I8">
    <cfRule type="cellIs" dxfId="47" priority="6" operator="equal">
      <formula>0</formula>
    </cfRule>
  </conditionalFormatting>
  <conditionalFormatting sqref="J3:K4">
    <cfRule type="containsErrors" dxfId="46" priority="3">
      <formula>ISERROR(J3)</formula>
    </cfRule>
  </conditionalFormatting>
  <conditionalFormatting sqref="N3:Q8">
    <cfRule type="cellIs" dxfId="45" priority="2" operator="equal">
      <formula>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M42"/>
  <sheetViews>
    <sheetView showGridLines="0" showRowColHeaders="0" workbookViewId="0">
      <selection activeCell="K18" sqref="K18"/>
    </sheetView>
  </sheetViews>
  <sheetFormatPr defaultRowHeight="15"/>
  <sheetData>
    <row r="1" spans="1:12" ht="15.75" thickBot="1">
      <c r="A1" s="480"/>
      <c r="B1" s="402"/>
      <c r="C1" s="402"/>
      <c r="D1" s="402"/>
      <c r="E1" s="402"/>
      <c r="F1" s="402"/>
      <c r="G1" s="402"/>
      <c r="H1" s="402"/>
      <c r="I1" s="402"/>
      <c r="J1" s="402"/>
      <c r="K1" s="402"/>
      <c r="L1" s="297"/>
    </row>
    <row r="2" spans="1:12">
      <c r="A2" s="480"/>
      <c r="B2" s="402"/>
      <c r="C2" s="402"/>
      <c r="D2" s="402"/>
      <c r="E2" s="402"/>
      <c r="F2" s="402"/>
      <c r="G2" s="402"/>
      <c r="H2" s="402"/>
      <c r="I2" s="402"/>
      <c r="J2" s="402"/>
      <c r="K2" s="402"/>
      <c r="L2" s="294"/>
    </row>
    <row r="3" spans="1:12">
      <c r="A3" s="110"/>
      <c r="B3" s="1579" t="s">
        <v>516</v>
      </c>
      <c r="C3" s="1580"/>
      <c r="D3" s="1580"/>
      <c r="E3" s="1581"/>
      <c r="H3" s="1585" t="s">
        <v>520</v>
      </c>
      <c r="I3" s="1586"/>
      <c r="J3" s="1587"/>
      <c r="K3" s="651">
        <v>0.26</v>
      </c>
      <c r="L3" s="295"/>
    </row>
    <row r="4" spans="1:12">
      <c r="A4" s="110"/>
      <c r="B4" s="1579" t="s">
        <v>517</v>
      </c>
      <c r="C4" s="1580"/>
      <c r="D4" s="1581"/>
      <c r="E4" s="471"/>
      <c r="H4" s="1588" t="s">
        <v>522</v>
      </c>
      <c r="I4" s="1589"/>
      <c r="J4" s="1590"/>
      <c r="K4" s="471"/>
      <c r="L4" s="295"/>
    </row>
    <row r="5" spans="1:12">
      <c r="A5" s="110"/>
      <c r="B5" s="1582" t="s">
        <v>518</v>
      </c>
      <c r="C5" s="1559"/>
      <c r="D5" s="1560"/>
      <c r="E5" s="471"/>
      <c r="H5" s="1588" t="s">
        <v>523</v>
      </c>
      <c r="I5" s="1589"/>
      <c r="J5" s="1590"/>
      <c r="K5" s="471"/>
      <c r="L5" s="295"/>
    </row>
    <row r="6" spans="1:12" ht="15.75">
      <c r="A6" s="110"/>
      <c r="B6" s="317" t="s">
        <v>519</v>
      </c>
      <c r="C6" s="315" t="e">
        <f>TAN(E5*3.14/180)/TAN(E4*3.14/180)</f>
        <v>#DIV/0!</v>
      </c>
      <c r="D6" s="1583" t="e">
        <f>IF(C6&gt;1,"Şev Güvenli","Şev Güvensiz")</f>
        <v>#DIV/0!</v>
      </c>
      <c r="E6" s="1584"/>
      <c r="H6" s="1591" t="s">
        <v>521</v>
      </c>
      <c r="I6" s="1592"/>
      <c r="J6" s="1593"/>
      <c r="K6" s="652"/>
      <c r="L6" s="295"/>
    </row>
    <row r="7" spans="1:12" ht="15.75">
      <c r="A7" s="110"/>
      <c r="H7" s="318" t="s">
        <v>519</v>
      </c>
      <c r="I7" s="522">
        <f>IF(K3="","",I8)</f>
        <v>2.1</v>
      </c>
      <c r="J7" s="1577" t="str">
        <f>IF(I7&gt;1,"Şev Güvenli","Şev Güvensiz")</f>
        <v>Şev Güvenli</v>
      </c>
      <c r="K7" s="1578"/>
      <c r="L7" s="295"/>
    </row>
    <row r="8" spans="1:12" ht="15.75" thickBot="1">
      <c r="A8" s="296"/>
      <c r="B8" s="297"/>
      <c r="C8" s="297"/>
      <c r="D8" s="297"/>
      <c r="E8" s="297"/>
      <c r="F8" s="297"/>
      <c r="G8" s="297"/>
      <c r="H8" s="297"/>
      <c r="I8" s="653">
        <f>IF(K4&lt;15,2.1,J39)</f>
        <v>2.1</v>
      </c>
      <c r="J8" s="297"/>
      <c r="K8" s="297"/>
      <c r="L8" s="298"/>
    </row>
    <row r="9" spans="1:12">
      <c r="A9" s="480"/>
      <c r="B9" s="402"/>
      <c r="C9" s="402"/>
      <c r="D9" s="402"/>
      <c r="E9" s="402"/>
      <c r="F9" s="402"/>
      <c r="G9" s="402"/>
      <c r="H9" s="402"/>
      <c r="I9" s="402"/>
      <c r="J9" s="402"/>
      <c r="K9" s="402"/>
      <c r="L9" s="402"/>
    </row>
    <row r="11" spans="1:12">
      <c r="B11" s="1575" t="s">
        <v>692</v>
      </c>
      <c r="C11" s="1576"/>
      <c r="F11" s="1432" t="s">
        <v>794</v>
      </c>
      <c r="G11" s="1432"/>
    </row>
    <row r="12" spans="1:12">
      <c r="F12" s="1432"/>
      <c r="G12" s="1432"/>
    </row>
    <row r="37" spans="10:13" hidden="1"/>
    <row r="38" spans="10:13" hidden="1">
      <c r="J38">
        <f>0.0009*((K4)^2)-(0.1363*K4)+7.7327</f>
        <v>7.7327000000000004</v>
      </c>
      <c r="K38">
        <f>-0.0001*((K4)^2)-(0.042*K4)+5.02526</f>
        <v>5.0252600000000003</v>
      </c>
      <c r="L38">
        <f>0.0003*((K4)^2)-(0.0516*K4)+4.2327</f>
        <v>4.2327000000000004</v>
      </c>
      <c r="M38">
        <f>-0.00003*((K4)^2)-(0.0208*K4)+3.1673</f>
        <v>3.1673</v>
      </c>
    </row>
    <row r="39" spans="10:13" hidden="1">
      <c r="J39" s="316">
        <f>TAN(K5*3.14/180)*K6</f>
        <v>0</v>
      </c>
    </row>
    <row r="40" spans="10:13" hidden="1"/>
    <row r="41" spans="10:13" hidden="1"/>
    <row r="42" spans="10:13" hidden="1">
      <c r="J42" t="s">
        <v>691</v>
      </c>
    </row>
  </sheetData>
  <sheetProtection algorithmName="SHA-512" hashValue="TxbSDqyP6tKKp/XGA8Mt78JYhubSd9X5idVC746x6BZGZ5ykdjFKoxBh7xwOKgt68fd2Hz8wLHn7oECq6lMvkg==" saltValue="l73jnWIKAoDQXtvb/PLdWQ==" spinCount="100000" sheet="1" objects="1" scenarios="1"/>
  <mergeCells count="11">
    <mergeCell ref="B11:C11"/>
    <mergeCell ref="J7:K7"/>
    <mergeCell ref="B3:E3"/>
    <mergeCell ref="B4:D4"/>
    <mergeCell ref="B5:D5"/>
    <mergeCell ref="D6:E6"/>
    <mergeCell ref="H3:J3"/>
    <mergeCell ref="H4:J4"/>
    <mergeCell ref="H5:J5"/>
    <mergeCell ref="H6:J6"/>
    <mergeCell ref="F11:G12"/>
  </mergeCells>
  <conditionalFormatting sqref="C6">
    <cfRule type="containsErrors" dxfId="44" priority="6">
      <formula>ISERROR(C6)</formula>
    </cfRule>
  </conditionalFormatting>
  <conditionalFormatting sqref="D6:E6">
    <cfRule type="containsErrors" dxfId="43" priority="3">
      <formula>ISERROR(D6)</formula>
    </cfRule>
    <cfRule type="containsErrors" dxfId="42" priority="5">
      <formula>ISERROR(D6)</formula>
    </cfRule>
  </conditionalFormatting>
  <conditionalFormatting sqref="E4:E5">
    <cfRule type="notContainsBlanks" dxfId="41" priority="1">
      <formula>LEN(TRIM(E4))&gt;0</formula>
    </cfRule>
  </conditionalFormatting>
  <conditionalFormatting sqref="K3:K6">
    <cfRule type="notContainsBlanks" dxfId="40" priority="2">
      <formula>LEN(TRIM(K3))&gt;0</formula>
    </cfRule>
  </conditionalFormatting>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4"/>
  <dimension ref="A2:X357"/>
  <sheetViews>
    <sheetView showGridLines="0" showRowColHeaders="0" topLeftCell="B1" workbookViewId="0">
      <selection activeCell="Q34" sqref="Q34"/>
    </sheetView>
  </sheetViews>
  <sheetFormatPr defaultRowHeight="15"/>
  <cols>
    <col min="1" max="2" width="9.140625" style="151"/>
    <col min="3" max="3" width="16.7109375" style="151" bestFit="1" customWidth="1"/>
    <col min="4" max="16384" width="9.140625" style="151"/>
  </cols>
  <sheetData>
    <row r="2" spans="1:24" ht="15.75" thickBot="1"/>
    <row r="3" spans="1:24" ht="15.75" thickBot="1">
      <c r="A3" s="451" t="s">
        <v>242</v>
      </c>
      <c r="B3" s="452"/>
      <c r="C3" s="452"/>
      <c r="D3" s="452"/>
      <c r="E3" s="452"/>
      <c r="F3" s="452"/>
      <c r="G3" s="452"/>
      <c r="H3" s="452"/>
      <c r="I3" s="452"/>
      <c r="J3" s="452"/>
      <c r="K3" s="453"/>
      <c r="N3" s="1645" t="s">
        <v>395</v>
      </c>
      <c r="O3" s="1646"/>
      <c r="P3" s="1646"/>
      <c r="Q3" s="1646"/>
      <c r="R3" s="1646"/>
      <c r="S3" s="1646"/>
      <c r="T3" s="1646"/>
      <c r="U3" s="1646"/>
      <c r="V3" s="1646"/>
      <c r="W3" s="1646"/>
      <c r="X3" s="1647"/>
    </row>
    <row r="4" spans="1:24">
      <c r="A4" s="1663" t="s">
        <v>247</v>
      </c>
      <c r="B4" s="1664"/>
      <c r="C4" s="1664"/>
      <c r="D4" s="1664"/>
      <c r="E4" s="1664"/>
      <c r="F4" s="1665"/>
      <c r="G4" s="1666" t="s">
        <v>248</v>
      </c>
      <c r="H4" s="1664"/>
      <c r="I4" s="1664"/>
      <c r="J4" s="1664"/>
      <c r="K4" s="1667"/>
      <c r="N4" s="1648" t="s">
        <v>243</v>
      </c>
      <c r="O4" s="1650" t="s">
        <v>273</v>
      </c>
      <c r="P4" s="1651"/>
      <c r="Q4" s="1651"/>
      <c r="R4" s="1651"/>
      <c r="S4" s="1651"/>
      <c r="T4" s="1652"/>
      <c r="U4" s="1656" t="s">
        <v>393</v>
      </c>
      <c r="V4" s="1657"/>
      <c r="W4" s="1658"/>
      <c r="X4" s="1659" t="s">
        <v>280</v>
      </c>
    </row>
    <row r="5" spans="1:24">
      <c r="A5" s="1668" t="s">
        <v>243</v>
      </c>
      <c r="B5" s="1669" t="s">
        <v>244</v>
      </c>
      <c r="C5" s="1671" t="s">
        <v>245</v>
      </c>
      <c r="D5" s="1671"/>
      <c r="E5" s="1673" t="s">
        <v>368</v>
      </c>
      <c r="F5" s="1674"/>
      <c r="G5" s="1673" t="s">
        <v>246</v>
      </c>
      <c r="H5" s="1677"/>
      <c r="I5" s="1674"/>
      <c r="J5" s="1679" t="s">
        <v>244</v>
      </c>
      <c r="K5" s="1681" t="s">
        <v>272</v>
      </c>
      <c r="N5" s="1649"/>
      <c r="O5" s="1653"/>
      <c r="P5" s="1654"/>
      <c r="Q5" s="1654"/>
      <c r="R5" s="1654"/>
      <c r="S5" s="1654"/>
      <c r="T5" s="1655"/>
      <c r="U5" s="454" t="s">
        <v>274</v>
      </c>
      <c r="V5" s="1661" t="s">
        <v>275</v>
      </c>
      <c r="W5" s="1662"/>
      <c r="X5" s="1660"/>
    </row>
    <row r="6" spans="1:24">
      <c r="A6" s="1649"/>
      <c r="B6" s="1670"/>
      <c r="C6" s="1672"/>
      <c r="D6" s="1672"/>
      <c r="E6" s="1675"/>
      <c r="F6" s="1676"/>
      <c r="G6" s="1675"/>
      <c r="H6" s="1678"/>
      <c r="I6" s="1676"/>
      <c r="J6" s="1680"/>
      <c r="K6" s="1682"/>
      <c r="N6" s="455" t="s">
        <v>276</v>
      </c>
      <c r="O6" s="1628" t="s">
        <v>277</v>
      </c>
      <c r="P6" s="1629"/>
      <c r="Q6" s="1629"/>
      <c r="R6" s="1629"/>
      <c r="S6" s="1629"/>
      <c r="T6" s="1630"/>
      <c r="U6" s="178" t="s">
        <v>278</v>
      </c>
      <c r="V6" s="863" t="s">
        <v>279</v>
      </c>
      <c r="W6" s="872"/>
      <c r="X6" s="214" t="s">
        <v>281</v>
      </c>
    </row>
    <row r="7" spans="1:24">
      <c r="A7" s="1685" t="s">
        <v>249</v>
      </c>
      <c r="B7" s="1683" t="s">
        <v>253</v>
      </c>
      <c r="C7" s="210" t="s">
        <v>306</v>
      </c>
      <c r="D7" s="211"/>
      <c r="E7" s="1250" t="s">
        <v>263</v>
      </c>
      <c r="F7" s="1251"/>
      <c r="G7" s="1250" t="s">
        <v>264</v>
      </c>
      <c r="H7" s="1687"/>
      <c r="I7" s="1251"/>
      <c r="J7" s="1683" t="s">
        <v>268</v>
      </c>
      <c r="K7" s="1624" t="s">
        <v>249</v>
      </c>
      <c r="N7" s="455" t="s">
        <v>282</v>
      </c>
      <c r="O7" s="1628" t="s">
        <v>283</v>
      </c>
      <c r="P7" s="1629"/>
      <c r="Q7" s="1629"/>
      <c r="R7" s="1629"/>
      <c r="S7" s="1629"/>
      <c r="T7" s="1630"/>
      <c r="U7" s="178" t="s">
        <v>284</v>
      </c>
      <c r="V7" s="863" t="s">
        <v>285</v>
      </c>
      <c r="W7" s="872"/>
      <c r="X7" s="456" t="s">
        <v>286</v>
      </c>
    </row>
    <row r="8" spans="1:24">
      <c r="A8" s="1686"/>
      <c r="B8" s="1684"/>
      <c r="C8" s="212" t="s">
        <v>382</v>
      </c>
      <c r="D8" s="213"/>
      <c r="E8" s="1239"/>
      <c r="F8" s="1240"/>
      <c r="G8" s="1239"/>
      <c r="H8" s="1688"/>
      <c r="I8" s="1240"/>
      <c r="J8" s="1684"/>
      <c r="K8" s="1627"/>
      <c r="N8" s="1631" t="s">
        <v>287</v>
      </c>
      <c r="O8" s="1639" t="s">
        <v>288</v>
      </c>
      <c r="P8" s="1640"/>
      <c r="Q8" s="1640"/>
      <c r="R8" s="1640"/>
      <c r="S8" s="1640"/>
      <c r="T8" s="1641"/>
      <c r="U8" s="443" t="s">
        <v>289</v>
      </c>
      <c r="V8" s="1250" t="s">
        <v>290</v>
      </c>
      <c r="W8" s="1251"/>
      <c r="X8" s="1624" t="s">
        <v>291</v>
      </c>
    </row>
    <row r="9" spans="1:24">
      <c r="A9" s="1685" t="s">
        <v>250</v>
      </c>
      <c r="B9" s="1683" t="s">
        <v>254</v>
      </c>
      <c r="C9" s="210" t="s">
        <v>257</v>
      </c>
      <c r="D9" s="211"/>
      <c r="E9" s="1250" t="s">
        <v>262</v>
      </c>
      <c r="F9" s="1251"/>
      <c r="G9" s="1250" t="s">
        <v>265</v>
      </c>
      <c r="H9" s="1687"/>
      <c r="I9" s="1251"/>
      <c r="J9" s="1683" t="s">
        <v>269</v>
      </c>
      <c r="K9" s="1624" t="s">
        <v>250</v>
      </c>
      <c r="N9" s="1633"/>
      <c r="O9" s="1642"/>
      <c r="P9" s="1643"/>
      <c r="Q9" s="1643"/>
      <c r="R9" s="1643"/>
      <c r="S9" s="1643"/>
      <c r="T9" s="1644"/>
      <c r="U9" s="444"/>
      <c r="V9" s="1239"/>
      <c r="W9" s="1240"/>
      <c r="X9" s="1627"/>
    </row>
    <row r="10" spans="1:24">
      <c r="A10" s="1686"/>
      <c r="B10" s="1684"/>
      <c r="C10" s="212" t="s">
        <v>307</v>
      </c>
      <c r="D10" s="213"/>
      <c r="E10" s="1239"/>
      <c r="F10" s="1240"/>
      <c r="G10" s="1239"/>
      <c r="H10" s="1688"/>
      <c r="I10" s="1240"/>
      <c r="J10" s="1684"/>
      <c r="K10" s="1627"/>
      <c r="N10" s="455" t="s">
        <v>292</v>
      </c>
      <c r="O10" s="1628" t="s">
        <v>293</v>
      </c>
      <c r="P10" s="1629"/>
      <c r="Q10" s="1629"/>
      <c r="R10" s="1629"/>
      <c r="S10" s="1629"/>
      <c r="T10" s="1630"/>
      <c r="U10" s="178" t="s">
        <v>294</v>
      </c>
      <c r="V10" s="863" t="s">
        <v>295</v>
      </c>
      <c r="W10" s="872"/>
      <c r="X10" s="456" t="s">
        <v>296</v>
      </c>
    </row>
    <row r="11" spans="1:24">
      <c r="A11" s="108" t="s">
        <v>251</v>
      </c>
      <c r="B11" s="103" t="s">
        <v>255</v>
      </c>
      <c r="C11" s="1693" t="s">
        <v>308</v>
      </c>
      <c r="D11" s="1694"/>
      <c r="E11" s="1695" t="s">
        <v>261</v>
      </c>
      <c r="F11" s="1696"/>
      <c r="G11" s="1695" t="s">
        <v>266</v>
      </c>
      <c r="H11" s="1697"/>
      <c r="I11" s="1696"/>
      <c r="J11" s="190" t="s">
        <v>270</v>
      </c>
      <c r="K11" s="214" t="s">
        <v>251</v>
      </c>
      <c r="N11" s="1631" t="s">
        <v>297</v>
      </c>
      <c r="O11" s="1246" t="s">
        <v>298</v>
      </c>
      <c r="P11" s="1634"/>
      <c r="Q11" s="1634"/>
      <c r="R11" s="1634"/>
      <c r="S11" s="1634"/>
      <c r="T11" s="1247"/>
      <c r="U11" s="443" t="s">
        <v>396</v>
      </c>
      <c r="V11" s="1250" t="s">
        <v>299</v>
      </c>
      <c r="W11" s="1251"/>
      <c r="X11" s="1624" t="s">
        <v>300</v>
      </c>
    </row>
    <row r="12" spans="1:24">
      <c r="A12" s="1689" t="s">
        <v>252</v>
      </c>
      <c r="B12" s="1683" t="s">
        <v>256</v>
      </c>
      <c r="C12" s="210" t="s">
        <v>258</v>
      </c>
      <c r="D12" s="215"/>
      <c r="E12" s="1250" t="s">
        <v>260</v>
      </c>
      <c r="F12" s="1251"/>
      <c r="G12" s="1250" t="s">
        <v>267</v>
      </c>
      <c r="H12" s="1687"/>
      <c r="I12" s="1251"/>
      <c r="J12" s="1683" t="s">
        <v>271</v>
      </c>
      <c r="K12" s="1624" t="s">
        <v>252</v>
      </c>
      <c r="N12" s="1632"/>
      <c r="O12" s="1635"/>
      <c r="P12" s="1636"/>
      <c r="Q12" s="1636"/>
      <c r="R12" s="1636"/>
      <c r="S12" s="1636"/>
      <c r="T12" s="1637"/>
      <c r="U12" s="457"/>
      <c r="V12" s="1237"/>
      <c r="W12" s="1238"/>
      <c r="X12" s="1625"/>
    </row>
    <row r="13" spans="1:24" ht="15.75" thickBot="1">
      <c r="A13" s="1690"/>
      <c r="B13" s="1691"/>
      <c r="C13" s="216" t="s">
        <v>259</v>
      </c>
      <c r="D13" s="217"/>
      <c r="E13" s="1613"/>
      <c r="F13" s="1614"/>
      <c r="G13" s="1613"/>
      <c r="H13" s="1692"/>
      <c r="I13" s="1614"/>
      <c r="J13" s="1691"/>
      <c r="K13" s="1626"/>
      <c r="N13" s="1633"/>
      <c r="O13" s="1248"/>
      <c r="P13" s="1638"/>
      <c r="Q13" s="1638"/>
      <c r="R13" s="1638"/>
      <c r="S13" s="1638"/>
      <c r="T13" s="1249"/>
      <c r="U13" s="444"/>
      <c r="V13" s="1239"/>
      <c r="W13" s="1240"/>
      <c r="X13" s="1627"/>
    </row>
    <row r="14" spans="1:24">
      <c r="N14" s="1598" t="s">
        <v>301</v>
      </c>
      <c r="O14" s="1601" t="s">
        <v>302</v>
      </c>
      <c r="P14" s="1602"/>
      <c r="Q14" s="1602"/>
      <c r="R14" s="1602"/>
      <c r="S14" s="1602"/>
      <c r="T14" s="1603"/>
      <c r="U14" s="1610"/>
      <c r="V14" s="1250" t="s">
        <v>303</v>
      </c>
      <c r="W14" s="1251"/>
      <c r="X14" s="1624" t="s">
        <v>304</v>
      </c>
    </row>
    <row r="15" spans="1:24" ht="15.75" thickBot="1">
      <c r="D15" s="1618" t="s">
        <v>391</v>
      </c>
      <c r="E15" s="1618"/>
      <c r="F15" s="1618"/>
      <c r="G15" s="1618"/>
      <c r="H15" s="1618"/>
      <c r="I15" s="1618"/>
      <c r="J15" s="1618"/>
      <c r="K15" s="1618"/>
      <c r="L15" s="1123"/>
      <c r="N15" s="1599"/>
      <c r="O15" s="1604"/>
      <c r="P15" s="1605"/>
      <c r="Q15" s="1605"/>
      <c r="R15" s="1605"/>
      <c r="S15" s="1605"/>
      <c r="T15" s="1606"/>
      <c r="U15" s="1611"/>
      <c r="V15" s="1237"/>
      <c r="W15" s="1238"/>
      <c r="X15" s="1625"/>
    </row>
    <row r="16" spans="1:24" ht="15.75" thickBot="1">
      <c r="D16" s="1615" t="s">
        <v>392</v>
      </c>
      <c r="E16" s="1616"/>
      <c r="F16" s="1616"/>
      <c r="G16" s="1616"/>
      <c r="H16" s="458"/>
      <c r="I16" s="458"/>
      <c r="J16" s="458"/>
      <c r="K16" s="459"/>
      <c r="L16" s="220"/>
      <c r="N16" s="1599"/>
      <c r="O16" s="1604"/>
      <c r="P16" s="1605"/>
      <c r="Q16" s="1605"/>
      <c r="R16" s="1605"/>
      <c r="S16" s="1605"/>
      <c r="T16" s="1606"/>
      <c r="U16" s="1611"/>
      <c r="V16" s="1237"/>
      <c r="W16" s="1238"/>
      <c r="X16" s="1625"/>
    </row>
    <row r="17" spans="2:24" ht="16.5" thickBot="1">
      <c r="D17" s="220"/>
      <c r="J17" s="460" t="str">
        <f>IF(AND(D18=1,H18=1),"Z1",IF(AND(D18=1,H18=2),"Z1",IF(AND(D18=2,H18=3),"Z2",IF(AND(D18=2,H18=4),"Z2",IF(AND(D18=3,H18=5),"Z3",IF(AND(D18=3,H18=6),"Z3",IF(AND(D18=4,H18=7),"Z4",IF(AND(D18=4,H18=8),"Z4"))))))))</f>
        <v>Z2</v>
      </c>
      <c r="K17" s="461"/>
      <c r="L17" s="220"/>
      <c r="N17" s="1599"/>
      <c r="O17" s="1604"/>
      <c r="P17" s="1605"/>
      <c r="Q17" s="1605"/>
      <c r="R17" s="1605"/>
      <c r="S17" s="1605"/>
      <c r="T17" s="1606"/>
      <c r="U17" s="1611"/>
      <c r="V17" s="1237"/>
      <c r="W17" s="1238"/>
      <c r="X17" s="1625"/>
    </row>
    <row r="18" spans="2:24" ht="15.75" thickBot="1">
      <c r="D18" s="462">
        <v>2</v>
      </c>
      <c r="E18" s="463"/>
      <c r="F18" s="463"/>
      <c r="G18" s="463"/>
      <c r="H18" s="463">
        <v>3</v>
      </c>
      <c r="I18" s="463"/>
      <c r="J18" s="464"/>
      <c r="K18" s="465"/>
      <c r="L18" s="220"/>
      <c r="N18" s="1599"/>
      <c r="O18" s="1604"/>
      <c r="P18" s="1605"/>
      <c r="Q18" s="1605"/>
      <c r="R18" s="1605"/>
      <c r="S18" s="1605"/>
      <c r="T18" s="1606"/>
      <c r="U18" s="1611"/>
      <c r="V18" s="1237"/>
      <c r="W18" s="1238"/>
      <c r="X18" s="1625"/>
    </row>
    <row r="19" spans="2:24">
      <c r="D19" s="226"/>
      <c r="E19" s="226"/>
      <c r="F19" s="226"/>
      <c r="G19" s="226"/>
      <c r="H19" s="226"/>
      <c r="I19" s="226"/>
      <c r="N19" s="1599"/>
      <c r="O19" s="1604"/>
      <c r="P19" s="1605"/>
      <c r="Q19" s="1605"/>
      <c r="R19" s="1605"/>
      <c r="S19" s="1605"/>
      <c r="T19" s="1606"/>
      <c r="U19" s="1611"/>
      <c r="V19" s="1237"/>
      <c r="W19" s="1238"/>
      <c r="X19" s="1625"/>
    </row>
    <row r="20" spans="2:24" ht="15.75" thickBot="1">
      <c r="D20" s="1618" t="s">
        <v>394</v>
      </c>
      <c r="E20" s="1618"/>
      <c r="F20" s="1618"/>
      <c r="G20" s="1618"/>
      <c r="H20" s="1618"/>
      <c r="I20" s="1618"/>
      <c r="J20" s="1618"/>
      <c r="K20" s="1618"/>
      <c r="N20" s="1599"/>
      <c r="O20" s="1604"/>
      <c r="P20" s="1605"/>
      <c r="Q20" s="1605"/>
      <c r="R20" s="1605"/>
      <c r="S20" s="1605"/>
      <c r="T20" s="1606"/>
      <c r="U20" s="1611"/>
      <c r="V20" s="1237"/>
      <c r="W20" s="1238"/>
      <c r="X20" s="1625"/>
    </row>
    <row r="21" spans="2:24" ht="15.75" thickBot="1">
      <c r="D21" s="1615" t="s">
        <v>392</v>
      </c>
      <c r="E21" s="1616"/>
      <c r="F21" s="1616"/>
      <c r="G21" s="1616"/>
      <c r="H21" s="458"/>
      <c r="I21" s="458"/>
      <c r="J21" s="458"/>
      <c r="K21" s="459"/>
      <c r="N21" s="1599"/>
      <c r="O21" s="1604"/>
      <c r="P21" s="1605"/>
      <c r="Q21" s="1605"/>
      <c r="R21" s="1605"/>
      <c r="S21" s="1605"/>
      <c r="T21" s="1606"/>
      <c r="U21" s="1611"/>
      <c r="V21" s="1237"/>
      <c r="W21" s="1238"/>
      <c r="X21" s="1625"/>
    </row>
    <row r="22" spans="2:24" ht="16.5" thickBot="1">
      <c r="D22" s="220"/>
      <c r="J22" s="460" t="str">
        <f>IF(AND(D23=1,G23=1),"Z1",IF(AND(D23=1,G23=2),"Z1",IF(AND(D23=2,G23=3),"Z2",IF(AND(D23=2,G23=4),"Z2",IF(AND(D23=3,G23=5),"Z3",IF(AND(D23=3,G23=6),"Z3",IF(AND(D23=4,G23=7),"Z4",IF(AND(D23=4,G23=8),"Z4"))))))))</f>
        <v>Z2</v>
      </c>
      <c r="K22" s="461"/>
      <c r="N22" s="1600"/>
      <c r="O22" s="1607"/>
      <c r="P22" s="1608"/>
      <c r="Q22" s="1608"/>
      <c r="R22" s="1608"/>
      <c r="S22" s="1608"/>
      <c r="T22" s="1609"/>
      <c r="U22" s="1612"/>
      <c r="V22" s="1613"/>
      <c r="W22" s="1614"/>
      <c r="X22" s="1626"/>
    </row>
    <row r="23" spans="2:24" ht="15.75" thickBot="1">
      <c r="D23" s="462">
        <v>2</v>
      </c>
      <c r="E23" s="463"/>
      <c r="F23" s="463"/>
      <c r="G23" s="463">
        <v>4</v>
      </c>
      <c r="H23" s="463">
        <v>7</v>
      </c>
      <c r="I23" s="463"/>
      <c r="J23" s="464"/>
      <c r="K23" s="465"/>
    </row>
    <row r="24" spans="2:24" ht="15.75" thickBot="1">
      <c r="N24" s="1618" t="s">
        <v>455</v>
      </c>
      <c r="O24" s="1618"/>
      <c r="P24" s="1618"/>
      <c r="Q24" s="1618"/>
      <c r="R24" s="1618"/>
      <c r="S24" s="1618"/>
    </row>
    <row r="25" spans="2:24" ht="15.75" thickBot="1">
      <c r="N25" s="1615" t="s">
        <v>392</v>
      </c>
      <c r="O25" s="1616"/>
      <c r="P25" s="458" t="s">
        <v>406</v>
      </c>
      <c r="Q25" s="458"/>
      <c r="R25" s="458"/>
      <c r="S25" s="459"/>
      <c r="T25" s="220"/>
    </row>
    <row r="26" spans="2:24" ht="16.5" thickBot="1">
      <c r="N26" s="220"/>
      <c r="R26" s="460" t="str">
        <f>IF(AND(N27=1,P27=1),"A",IF(AND(N27=2,P27=2),"B",IF(AND(N27=3,P27=3),"C",IF(AND(N27=4,P27=4),"D",IF(AND(N27=5,P27=5),"E",IF(N27=6,"F"))))))</f>
        <v>B</v>
      </c>
      <c r="S26" s="461"/>
      <c r="T26" s="220"/>
    </row>
    <row r="27" spans="2:24" ht="15.75" thickBot="1">
      <c r="B27" s="145"/>
      <c r="C27" s="145"/>
      <c r="D27" s="1438" t="s">
        <v>663</v>
      </c>
      <c r="E27" s="1439"/>
      <c r="F27" s="1440"/>
      <c r="I27" s="1619" t="s">
        <v>665</v>
      </c>
      <c r="J27" s="1620"/>
      <c r="K27" s="1620"/>
      <c r="L27" s="1621"/>
      <c r="N27" s="462">
        <v>2</v>
      </c>
      <c r="O27" s="463"/>
      <c r="P27" s="463">
        <v>2</v>
      </c>
      <c r="Q27" s="463"/>
      <c r="R27" s="463"/>
      <c r="S27" s="466"/>
      <c r="T27" s="220"/>
    </row>
    <row r="28" spans="2:24" ht="30">
      <c r="B28" s="1595"/>
      <c r="C28" s="1104"/>
      <c r="D28" s="442" t="s">
        <v>661</v>
      </c>
      <c r="E28" s="473" t="s">
        <v>662</v>
      </c>
      <c r="F28" s="474" t="s">
        <v>243</v>
      </c>
      <c r="I28" s="1622" t="s">
        <v>87</v>
      </c>
      <c r="J28" s="1622" t="s">
        <v>72</v>
      </c>
      <c r="K28" s="1622" t="s">
        <v>664</v>
      </c>
      <c r="L28" s="1622" t="s">
        <v>243</v>
      </c>
      <c r="M28" s="1104"/>
      <c r="N28" s="226"/>
      <c r="O28" s="226"/>
      <c r="P28" s="226"/>
      <c r="Q28" s="226"/>
      <c r="R28" s="226"/>
      <c r="S28" s="226"/>
    </row>
    <row r="29" spans="2:24" ht="15" customHeight="1" thickBot="1">
      <c r="B29" s="1594"/>
      <c r="C29" s="1594"/>
      <c r="D29" s="470">
        <v>1</v>
      </c>
      <c r="E29" s="471">
        <f>'S dalga Hızı'!F37</f>
        <v>0</v>
      </c>
      <c r="F29" s="472" t="str">
        <f>'S dalga Hızı'!H37</f>
        <v/>
      </c>
      <c r="I29" s="1623"/>
      <c r="J29" s="1623"/>
      <c r="K29" s="1623"/>
      <c r="L29" s="1623"/>
      <c r="M29" s="1104"/>
      <c r="N29" s="226"/>
      <c r="O29" s="226"/>
      <c r="P29" s="226"/>
      <c r="Q29" s="226"/>
      <c r="R29" s="226"/>
      <c r="S29" s="226"/>
    </row>
    <row r="30" spans="2:24">
      <c r="B30" s="1594"/>
      <c r="C30" s="1594"/>
      <c r="D30" s="470">
        <v>2</v>
      </c>
      <c r="E30" s="471">
        <f>'S dalga Hızı'!F38</f>
        <v>0</v>
      </c>
      <c r="F30" s="472" t="str">
        <f>'S dalga Hızı'!H38</f>
        <v/>
      </c>
      <c r="I30" s="1698" t="s">
        <v>95</v>
      </c>
      <c r="J30" s="82">
        <v>1</v>
      </c>
      <c r="K30" s="83">
        <f>'S dalga Hızı'!D4</f>
        <v>0</v>
      </c>
      <c r="L30" s="475" t="str">
        <f>'S dalga Hızı'!F4</f>
        <v/>
      </c>
      <c r="M30" s="1376"/>
      <c r="N30" s="226"/>
      <c r="O30" s="226"/>
      <c r="P30" s="226"/>
      <c r="Q30" s="226"/>
      <c r="R30" s="226"/>
      <c r="S30" s="226"/>
    </row>
    <row r="31" spans="2:24" ht="15" customHeight="1">
      <c r="B31" s="1594"/>
      <c r="C31" s="1594"/>
      <c r="D31" s="470">
        <v>3</v>
      </c>
      <c r="E31" s="471">
        <f>'S dalga Hızı'!F39</f>
        <v>0</v>
      </c>
      <c r="F31" s="472" t="str">
        <f>'S dalga Hızı'!H39</f>
        <v/>
      </c>
      <c r="I31" s="1699"/>
      <c r="J31" s="84">
        <v>2</v>
      </c>
      <c r="K31" s="85">
        <f>'S dalga Hızı'!D5</f>
        <v>0</v>
      </c>
      <c r="L31" s="476" t="str">
        <f>'S dalga Hızı'!F5</f>
        <v/>
      </c>
      <c r="M31" s="1376"/>
      <c r="N31" s="226"/>
      <c r="O31" s="226"/>
      <c r="P31" s="226"/>
      <c r="Q31" s="226"/>
      <c r="R31" s="226"/>
      <c r="S31" s="226"/>
    </row>
    <row r="32" spans="2:24" ht="15" customHeight="1">
      <c r="B32" s="1594"/>
      <c r="C32" s="1594"/>
      <c r="D32" s="470">
        <v>4</v>
      </c>
      <c r="E32" s="471">
        <f>'S dalga Hızı'!F40</f>
        <v>0</v>
      </c>
      <c r="F32" s="472" t="str">
        <f>'S dalga Hızı'!H40</f>
        <v/>
      </c>
      <c r="I32" s="1700" t="s">
        <v>96</v>
      </c>
      <c r="J32" s="84">
        <v>1</v>
      </c>
      <c r="K32" s="85">
        <f>'S dalga Hızı'!D6</f>
        <v>0</v>
      </c>
      <c r="L32" s="476" t="str">
        <f>'S dalga Hızı'!F6</f>
        <v/>
      </c>
      <c r="M32" s="1376"/>
      <c r="N32" s="226"/>
      <c r="O32" s="226"/>
      <c r="P32" s="226"/>
      <c r="Q32" s="226"/>
      <c r="R32" s="226"/>
      <c r="S32" s="226"/>
    </row>
    <row r="33" spans="2:19" ht="15" customHeight="1">
      <c r="D33" s="472">
        <v>5</v>
      </c>
      <c r="E33" s="471">
        <f>'S dalga Hızı'!F41</f>
        <v>0</v>
      </c>
      <c r="F33" s="472" t="str">
        <f>'S dalga Hızı'!H41</f>
        <v/>
      </c>
      <c r="I33" s="1700"/>
      <c r="J33" s="84">
        <v>2</v>
      </c>
      <c r="K33" s="85">
        <f>'S dalga Hızı'!D7</f>
        <v>0</v>
      </c>
      <c r="L33" s="476" t="str">
        <f>'S dalga Hızı'!F7</f>
        <v/>
      </c>
      <c r="M33" s="1376"/>
      <c r="N33" s="226"/>
      <c r="O33" s="226"/>
      <c r="P33" s="226"/>
      <c r="Q33" s="226"/>
      <c r="R33" s="226"/>
      <c r="S33" s="226"/>
    </row>
    <row r="34" spans="2:19" ht="15" customHeight="1">
      <c r="B34" s="984"/>
      <c r="C34" s="984"/>
      <c r="D34" s="179">
        <v>6</v>
      </c>
      <c r="E34" s="471">
        <f>'S dalga Hızı'!F42</f>
        <v>0</v>
      </c>
      <c r="F34" s="472" t="str">
        <f>'S dalga Hızı'!H42</f>
        <v/>
      </c>
      <c r="I34" s="1700" t="s">
        <v>97</v>
      </c>
      <c r="J34" s="84">
        <v>1</v>
      </c>
      <c r="K34" s="85">
        <f>'S dalga Hızı'!D8</f>
        <v>0</v>
      </c>
      <c r="L34" s="476" t="str">
        <f>'S dalga Hızı'!F8</f>
        <v/>
      </c>
      <c r="M34" s="1376"/>
      <c r="N34" s="226"/>
      <c r="O34" s="226"/>
      <c r="P34" s="226"/>
      <c r="Q34" s="226"/>
      <c r="R34" s="226"/>
      <c r="S34" s="226"/>
    </row>
    <row r="35" spans="2:19" ht="15" customHeight="1">
      <c r="I35" s="1700"/>
      <c r="J35" s="84">
        <v>2</v>
      </c>
      <c r="K35" s="85">
        <f>'S dalga Hızı'!D9</f>
        <v>0</v>
      </c>
      <c r="L35" s="476" t="str">
        <f>'S dalga Hızı'!F9</f>
        <v/>
      </c>
      <c r="M35" s="1376"/>
      <c r="N35" s="226"/>
      <c r="O35" s="226"/>
      <c r="P35" s="226"/>
      <c r="Q35" s="226"/>
      <c r="R35" s="226"/>
      <c r="S35" s="226"/>
    </row>
    <row r="36" spans="2:19" ht="15" customHeight="1">
      <c r="I36" s="1700" t="s">
        <v>98</v>
      </c>
      <c r="J36" s="84">
        <v>1</v>
      </c>
      <c r="K36" s="85">
        <f>'S dalga Hızı'!D10</f>
        <v>0</v>
      </c>
      <c r="L36" s="476" t="str">
        <f>'S dalga Hızı'!F10</f>
        <v/>
      </c>
      <c r="M36" s="1376"/>
      <c r="N36" s="226"/>
      <c r="O36" s="226"/>
      <c r="P36" s="226"/>
      <c r="Q36" s="226"/>
      <c r="R36" s="226"/>
      <c r="S36" s="226"/>
    </row>
    <row r="37" spans="2:19" ht="15" customHeight="1">
      <c r="I37" s="1700"/>
      <c r="J37" s="84">
        <v>2</v>
      </c>
      <c r="K37" s="85">
        <f>'S dalga Hızı'!D11</f>
        <v>0</v>
      </c>
      <c r="L37" s="476" t="str">
        <f>'S dalga Hızı'!F11</f>
        <v/>
      </c>
      <c r="M37" s="1376"/>
      <c r="N37" s="226"/>
      <c r="O37" s="226"/>
      <c r="P37" s="226"/>
      <c r="Q37" s="226"/>
      <c r="R37" s="226"/>
      <c r="S37" s="226"/>
    </row>
    <row r="38" spans="2:19" ht="15" customHeight="1">
      <c r="F38" s="147"/>
      <c r="I38" s="1700" t="s">
        <v>99</v>
      </c>
      <c r="J38" s="84">
        <v>1</v>
      </c>
      <c r="K38" s="85">
        <f>'S dalga Hızı'!D12</f>
        <v>0</v>
      </c>
      <c r="L38" s="476" t="str">
        <f>'S dalga Hızı'!F12</f>
        <v/>
      </c>
      <c r="M38" s="1376"/>
      <c r="N38" s="226"/>
      <c r="O38" s="226"/>
      <c r="P38" s="226"/>
      <c r="Q38" s="226"/>
      <c r="R38" s="226"/>
      <c r="S38" s="226"/>
    </row>
    <row r="39" spans="2:19" ht="15" customHeight="1">
      <c r="I39" s="1700"/>
      <c r="J39" s="84">
        <v>2</v>
      </c>
      <c r="K39" s="85">
        <f>'S dalga Hızı'!D13</f>
        <v>0</v>
      </c>
      <c r="L39" s="476" t="str">
        <f>'S dalga Hızı'!F13</f>
        <v/>
      </c>
      <c r="M39" s="1376"/>
      <c r="N39" s="226"/>
      <c r="O39" s="226"/>
      <c r="P39" s="226"/>
      <c r="Q39" s="226"/>
      <c r="R39" s="226"/>
      <c r="S39" s="226"/>
    </row>
    <row r="40" spans="2:19" ht="15" customHeight="1">
      <c r="I40" s="1700" t="s">
        <v>100</v>
      </c>
      <c r="J40" s="84">
        <v>1</v>
      </c>
      <c r="K40" s="85">
        <f>'S dalga Hızı'!D14</f>
        <v>0</v>
      </c>
      <c r="L40" s="476" t="str">
        <f>'S dalga Hızı'!F14</f>
        <v/>
      </c>
      <c r="M40" s="1376"/>
      <c r="N40" s="226"/>
      <c r="O40" s="226"/>
      <c r="P40" s="226"/>
      <c r="Q40" s="226"/>
      <c r="R40" s="226"/>
      <c r="S40" s="226"/>
    </row>
    <row r="41" spans="2:19" ht="15" customHeight="1" thickBot="1">
      <c r="I41" s="1701"/>
      <c r="J41" s="477">
        <v>2</v>
      </c>
      <c r="K41" s="478">
        <f>'S dalga Hızı'!D15</f>
        <v>0</v>
      </c>
      <c r="L41" s="479" t="str">
        <f>'S dalga Hızı'!F15</f>
        <v/>
      </c>
      <c r="M41" s="1376"/>
      <c r="N41" s="226"/>
      <c r="O41" s="226"/>
      <c r="P41" s="226"/>
      <c r="Q41" s="226"/>
      <c r="R41" s="226"/>
      <c r="S41" s="226"/>
    </row>
    <row r="42" spans="2:19" ht="15" customHeight="1">
      <c r="N42" s="226"/>
      <c r="O42" s="226"/>
      <c r="P42" s="226"/>
      <c r="Q42" s="226"/>
      <c r="R42" s="226"/>
      <c r="S42" s="226"/>
    </row>
    <row r="43" spans="2:19">
      <c r="N43" s="226"/>
      <c r="O43" s="226"/>
      <c r="P43" s="226"/>
      <c r="Q43" s="226"/>
      <c r="R43" s="226"/>
      <c r="S43" s="226"/>
    </row>
    <row r="44" spans="2:19">
      <c r="N44" s="226"/>
      <c r="O44" s="226"/>
      <c r="P44" s="226"/>
      <c r="Q44" s="226"/>
      <c r="R44" s="226"/>
      <c r="S44" s="226"/>
    </row>
    <row r="45" spans="2:19">
      <c r="N45" s="226"/>
      <c r="O45" s="226"/>
      <c r="P45" s="226"/>
      <c r="Q45" s="226"/>
      <c r="R45" s="226"/>
      <c r="S45" s="226"/>
    </row>
    <row r="46" spans="2:19">
      <c r="N46" s="226"/>
      <c r="O46" s="226"/>
      <c r="P46" s="226"/>
      <c r="Q46" s="226"/>
      <c r="R46" s="226"/>
      <c r="S46" s="226"/>
    </row>
    <row r="47" spans="2:19">
      <c r="N47" s="226"/>
      <c r="O47" s="226"/>
      <c r="P47" s="226"/>
      <c r="Q47" s="226"/>
      <c r="R47" s="226"/>
      <c r="S47" s="226"/>
    </row>
    <row r="48" spans="2:19">
      <c r="N48" s="226"/>
      <c r="O48" s="226"/>
      <c r="P48" s="226"/>
      <c r="Q48" s="226"/>
      <c r="R48" s="226"/>
      <c r="S48" s="226"/>
    </row>
    <row r="49" spans="14:19">
      <c r="N49" s="226"/>
      <c r="O49" s="226"/>
      <c r="P49" s="226"/>
      <c r="Q49" s="226"/>
      <c r="R49" s="226"/>
      <c r="S49" s="226"/>
    </row>
    <row r="50" spans="14:19">
      <c r="N50" s="226"/>
      <c r="O50" s="226"/>
      <c r="P50" s="226"/>
      <c r="Q50" s="226"/>
      <c r="R50" s="226"/>
      <c r="S50" s="226"/>
    </row>
    <row r="51" spans="14:19">
      <c r="N51" s="226"/>
      <c r="O51" s="226"/>
      <c r="P51" s="226"/>
      <c r="Q51" s="226"/>
      <c r="R51" s="226"/>
      <c r="S51" s="226"/>
    </row>
    <row r="52" spans="14:19">
      <c r="N52" s="226"/>
      <c r="O52" s="226"/>
      <c r="P52" s="226"/>
      <c r="Q52" s="226"/>
      <c r="R52" s="226"/>
      <c r="S52" s="226"/>
    </row>
    <row r="53" spans="14:19">
      <c r="N53" s="226"/>
      <c r="O53" s="226"/>
      <c r="P53" s="226"/>
      <c r="Q53" s="226"/>
      <c r="R53" s="226"/>
      <c r="S53" s="226"/>
    </row>
    <row r="54" spans="14:19">
      <c r="N54" s="226"/>
      <c r="O54" s="226"/>
      <c r="P54" s="226"/>
      <c r="Q54" s="226"/>
      <c r="R54" s="226"/>
      <c r="S54" s="226"/>
    </row>
    <row r="55" spans="14:19">
      <c r="N55" s="226"/>
      <c r="O55" s="226"/>
      <c r="P55" s="226"/>
      <c r="Q55" s="226"/>
      <c r="R55" s="226"/>
      <c r="S55" s="226"/>
    </row>
    <row r="56" spans="14:19">
      <c r="N56" s="226"/>
      <c r="O56" s="226"/>
      <c r="P56" s="226"/>
      <c r="Q56" s="226"/>
      <c r="R56" s="226"/>
      <c r="S56" s="226"/>
    </row>
    <row r="57" spans="14:19">
      <c r="N57" s="226"/>
      <c r="O57" s="226"/>
      <c r="P57" s="226"/>
      <c r="Q57" s="226"/>
      <c r="R57" s="226"/>
      <c r="S57" s="226"/>
    </row>
    <row r="58" spans="14:19">
      <c r="N58" s="226"/>
      <c r="O58" s="226"/>
      <c r="P58" s="226"/>
      <c r="Q58" s="226"/>
      <c r="R58" s="226"/>
      <c r="S58" s="226"/>
    </row>
    <row r="59" spans="14:19">
      <c r="N59" s="226"/>
      <c r="O59" s="226"/>
      <c r="P59" s="226"/>
      <c r="Q59" s="226"/>
      <c r="R59" s="226"/>
      <c r="S59" s="226"/>
    </row>
    <row r="60" spans="14:19">
      <c r="N60" s="226"/>
      <c r="O60" s="226"/>
      <c r="P60" s="226"/>
      <c r="Q60" s="226"/>
      <c r="R60" s="226"/>
      <c r="S60" s="226"/>
    </row>
    <row r="61" spans="14:19">
      <c r="N61" s="226"/>
      <c r="O61" s="226"/>
      <c r="P61" s="226"/>
      <c r="Q61" s="226"/>
      <c r="R61" s="226"/>
      <c r="S61" s="226"/>
    </row>
    <row r="62" spans="14:19">
      <c r="N62" s="226"/>
      <c r="O62" s="226"/>
      <c r="P62" s="226"/>
      <c r="Q62" s="226"/>
      <c r="R62" s="226"/>
      <c r="S62" s="226"/>
    </row>
    <row r="63" spans="14:19">
      <c r="N63" s="226"/>
      <c r="O63" s="226"/>
      <c r="P63" s="226"/>
      <c r="Q63" s="226"/>
      <c r="R63" s="226"/>
      <c r="S63" s="226"/>
    </row>
    <row r="64" spans="14:19">
      <c r="N64" s="226"/>
      <c r="O64" s="226"/>
      <c r="P64" s="226"/>
      <c r="Q64" s="226"/>
      <c r="R64" s="226"/>
      <c r="S64" s="226"/>
    </row>
    <row r="65" spans="14:19">
      <c r="N65" s="226"/>
      <c r="O65" s="226"/>
      <c r="P65" s="226"/>
      <c r="Q65" s="226"/>
      <c r="R65" s="226"/>
      <c r="S65" s="226"/>
    </row>
    <row r="66" spans="14:19">
      <c r="N66" s="226"/>
      <c r="O66" s="226"/>
      <c r="P66" s="226"/>
      <c r="Q66" s="226"/>
      <c r="R66" s="226"/>
      <c r="S66" s="226"/>
    </row>
    <row r="67" spans="14:19">
      <c r="N67" s="226"/>
      <c r="O67" s="226"/>
      <c r="P67" s="226"/>
      <c r="Q67" s="226"/>
      <c r="R67" s="226"/>
      <c r="S67" s="226"/>
    </row>
    <row r="68" spans="14:19">
      <c r="N68" s="226"/>
      <c r="O68" s="226"/>
      <c r="P68" s="226"/>
      <c r="Q68" s="226"/>
      <c r="R68" s="226"/>
      <c r="S68" s="226"/>
    </row>
    <row r="69" spans="14:19">
      <c r="N69" s="226"/>
      <c r="O69" s="226"/>
      <c r="P69" s="226"/>
      <c r="Q69" s="226"/>
      <c r="R69" s="226"/>
      <c r="S69" s="226"/>
    </row>
    <row r="70" spans="14:19">
      <c r="N70" s="226"/>
      <c r="O70" s="226"/>
      <c r="P70" s="226"/>
      <c r="Q70" s="226"/>
      <c r="R70" s="226"/>
      <c r="S70" s="226"/>
    </row>
    <row r="71" spans="14:19">
      <c r="N71" s="226"/>
      <c r="O71" s="226"/>
      <c r="P71" s="226"/>
      <c r="Q71" s="226"/>
      <c r="R71" s="226"/>
      <c r="S71" s="226"/>
    </row>
    <row r="72" spans="14:19">
      <c r="N72" s="226"/>
      <c r="O72" s="226"/>
      <c r="P72" s="226"/>
      <c r="Q72" s="226"/>
      <c r="R72" s="226"/>
      <c r="S72" s="226"/>
    </row>
    <row r="73" spans="14:19">
      <c r="N73" s="226"/>
      <c r="O73" s="226"/>
      <c r="P73" s="226"/>
      <c r="Q73" s="226"/>
      <c r="R73" s="226"/>
      <c r="S73" s="226"/>
    </row>
    <row r="74" spans="14:19">
      <c r="N74" s="226"/>
      <c r="O74" s="226"/>
      <c r="P74" s="226"/>
      <c r="Q74" s="226"/>
      <c r="R74" s="226"/>
      <c r="S74" s="226"/>
    </row>
    <row r="75" spans="14:19">
      <c r="N75" s="226"/>
      <c r="O75" s="226"/>
      <c r="P75" s="226"/>
      <c r="Q75" s="226"/>
      <c r="R75" s="226"/>
      <c r="S75" s="226"/>
    </row>
    <row r="76" spans="14:19">
      <c r="N76" s="226"/>
      <c r="O76" s="226"/>
      <c r="P76" s="226"/>
      <c r="Q76" s="226"/>
      <c r="R76" s="226"/>
      <c r="S76" s="226"/>
    </row>
    <row r="77" spans="14:19">
      <c r="N77" s="226"/>
      <c r="O77" s="226"/>
      <c r="P77" s="226"/>
      <c r="Q77" s="226"/>
      <c r="R77" s="226"/>
      <c r="S77" s="226"/>
    </row>
    <row r="78" spans="14:19">
      <c r="N78" s="226"/>
      <c r="O78" s="226"/>
      <c r="P78" s="226"/>
      <c r="Q78" s="226"/>
      <c r="R78" s="226"/>
      <c r="S78" s="226"/>
    </row>
    <row r="79" spans="14:19">
      <c r="N79" s="226"/>
      <c r="O79" s="226"/>
      <c r="P79" s="226"/>
      <c r="Q79" s="226"/>
      <c r="R79" s="226"/>
      <c r="S79" s="226"/>
    </row>
    <row r="80" spans="14:19">
      <c r="N80" s="226"/>
      <c r="O80" s="226"/>
      <c r="P80" s="226"/>
      <c r="Q80" s="226"/>
      <c r="R80" s="226"/>
      <c r="S80" s="226"/>
    </row>
    <row r="81" spans="14:19">
      <c r="N81" s="226"/>
      <c r="O81" s="226"/>
      <c r="P81" s="226"/>
      <c r="Q81" s="226"/>
      <c r="R81" s="226"/>
      <c r="S81" s="226"/>
    </row>
    <row r="82" spans="14:19">
      <c r="N82" s="226"/>
      <c r="O82" s="226"/>
      <c r="P82" s="226"/>
      <c r="Q82" s="226"/>
      <c r="R82" s="226"/>
      <c r="S82" s="226"/>
    </row>
    <row r="83" spans="14:19">
      <c r="N83" s="226"/>
      <c r="O83" s="226"/>
      <c r="P83" s="226"/>
      <c r="Q83" s="226"/>
      <c r="R83" s="226"/>
      <c r="S83" s="226"/>
    </row>
    <row r="84" spans="14:19">
      <c r="N84" s="226"/>
      <c r="O84" s="226"/>
      <c r="P84" s="226"/>
      <c r="Q84" s="226"/>
      <c r="R84" s="226"/>
      <c r="S84" s="226"/>
    </row>
    <row r="85" spans="14:19">
      <c r="N85" s="226"/>
      <c r="O85" s="226"/>
      <c r="P85" s="226"/>
      <c r="Q85" s="226"/>
      <c r="R85" s="226"/>
      <c r="S85" s="226"/>
    </row>
    <row r="86" spans="14:19">
      <c r="N86" s="226"/>
      <c r="O86" s="226"/>
      <c r="P86" s="226"/>
      <c r="Q86" s="226"/>
      <c r="R86" s="226"/>
      <c r="S86" s="226"/>
    </row>
    <row r="87" spans="14:19">
      <c r="N87" s="226"/>
      <c r="O87" s="226"/>
      <c r="P87" s="226"/>
      <c r="Q87" s="226"/>
      <c r="R87" s="226"/>
      <c r="S87" s="226"/>
    </row>
    <row r="88" spans="14:19">
      <c r="N88" s="226"/>
      <c r="O88" s="226"/>
      <c r="P88" s="226"/>
      <c r="Q88" s="226"/>
      <c r="R88" s="226"/>
      <c r="S88" s="226"/>
    </row>
    <row r="89" spans="14:19">
      <c r="N89" s="226"/>
      <c r="O89" s="226"/>
      <c r="P89" s="226"/>
      <c r="Q89" s="226"/>
      <c r="R89" s="226"/>
      <c r="S89" s="226"/>
    </row>
    <row r="90" spans="14:19">
      <c r="N90" s="226"/>
      <c r="O90" s="226"/>
      <c r="P90" s="226"/>
      <c r="Q90" s="226"/>
      <c r="R90" s="226"/>
      <c r="S90" s="226"/>
    </row>
    <row r="91" spans="14:19">
      <c r="N91" s="226"/>
      <c r="O91" s="226"/>
      <c r="P91" s="226"/>
      <c r="Q91" s="226"/>
      <c r="R91" s="226"/>
      <c r="S91" s="226"/>
    </row>
    <row r="92" spans="14:19">
      <c r="N92" s="226"/>
      <c r="O92" s="226"/>
      <c r="P92" s="226"/>
      <c r="Q92" s="226"/>
      <c r="R92" s="226"/>
      <c r="S92" s="226"/>
    </row>
    <row r="93" spans="14:19">
      <c r="N93" s="226"/>
      <c r="O93" s="226"/>
      <c r="P93" s="226"/>
      <c r="Q93" s="226"/>
      <c r="R93" s="226"/>
      <c r="S93" s="226"/>
    </row>
    <row r="94" spans="14:19">
      <c r="N94" s="226"/>
      <c r="O94" s="226"/>
      <c r="P94" s="226"/>
      <c r="Q94" s="226"/>
      <c r="R94" s="226"/>
      <c r="S94" s="226"/>
    </row>
    <row r="95" spans="14:19">
      <c r="N95" s="226"/>
      <c r="O95" s="226"/>
      <c r="P95" s="226"/>
      <c r="Q95" s="226"/>
      <c r="R95" s="226"/>
      <c r="S95" s="226"/>
    </row>
    <row r="96" spans="14:19">
      <c r="N96" s="226"/>
      <c r="O96" s="226"/>
      <c r="P96" s="226"/>
      <c r="Q96" s="226"/>
      <c r="R96" s="226"/>
      <c r="S96" s="226"/>
    </row>
    <row r="97" spans="1:19">
      <c r="N97" s="226"/>
      <c r="O97" s="226"/>
      <c r="P97" s="226"/>
      <c r="Q97" s="226"/>
      <c r="R97" s="226"/>
      <c r="S97" s="226"/>
    </row>
    <row r="98" spans="1:19">
      <c r="N98" s="226"/>
      <c r="O98" s="226"/>
      <c r="P98" s="226"/>
      <c r="Q98" s="226"/>
      <c r="R98" s="226"/>
      <c r="S98" s="226"/>
    </row>
    <row r="99" spans="1:19">
      <c r="N99" s="226"/>
      <c r="O99" s="226"/>
      <c r="P99" s="226"/>
      <c r="Q99" s="226"/>
      <c r="R99" s="226"/>
      <c r="S99" s="226"/>
    </row>
    <row r="100" spans="1:19">
      <c r="B100" s="467"/>
      <c r="D100" s="467"/>
      <c r="F100" s="467"/>
    </row>
    <row r="101" spans="1:19">
      <c r="A101" s="151">
        <v>2</v>
      </c>
      <c r="B101" s="151" t="s">
        <v>413</v>
      </c>
      <c r="C101" s="151">
        <v>2</v>
      </c>
      <c r="D101" s="151" t="s">
        <v>407</v>
      </c>
      <c r="E101" s="151">
        <v>3</v>
      </c>
      <c r="F101" s="151" t="s">
        <v>383</v>
      </c>
      <c r="J101" s="151">
        <v>13</v>
      </c>
      <c r="K101" s="1597" t="s">
        <v>277</v>
      </c>
      <c r="L101" s="1597"/>
      <c r="M101" s="1597"/>
      <c r="N101" s="1597"/>
      <c r="O101" s="1597"/>
    </row>
    <row r="102" spans="1:19">
      <c r="B102" s="151" t="s">
        <v>414</v>
      </c>
      <c r="D102" s="151" t="s">
        <v>408</v>
      </c>
      <c r="F102" s="151" t="s">
        <v>384</v>
      </c>
      <c r="K102" s="1596" t="s">
        <v>283</v>
      </c>
      <c r="L102" s="1596"/>
      <c r="M102" s="1596"/>
      <c r="N102" s="1596"/>
      <c r="O102" s="1596"/>
    </row>
    <row r="103" spans="1:19">
      <c r="B103" s="151" t="s">
        <v>415</v>
      </c>
      <c r="D103" s="151" t="s">
        <v>409</v>
      </c>
      <c r="F103" s="151" t="s">
        <v>385</v>
      </c>
      <c r="K103" s="1617" t="s">
        <v>288</v>
      </c>
      <c r="L103" s="1617"/>
      <c r="M103" s="1617"/>
      <c r="N103" s="1617"/>
      <c r="O103" s="1617"/>
    </row>
    <row r="104" spans="1:19">
      <c r="B104" s="151" t="s">
        <v>416</v>
      </c>
      <c r="D104" s="151" t="s">
        <v>410</v>
      </c>
      <c r="F104" s="151" t="s">
        <v>386</v>
      </c>
      <c r="K104" s="1617"/>
      <c r="L104" s="1617"/>
      <c r="M104" s="1617"/>
      <c r="N104" s="1617"/>
      <c r="O104" s="1617"/>
    </row>
    <row r="105" spans="1:19" ht="15.75" customHeight="1">
      <c r="B105" s="151" t="s">
        <v>417</v>
      </c>
      <c r="D105" s="151" t="s">
        <v>417</v>
      </c>
      <c r="F105" s="151" t="s">
        <v>387</v>
      </c>
      <c r="K105" s="1596" t="s">
        <v>293</v>
      </c>
      <c r="L105" s="1596"/>
      <c r="M105" s="1596"/>
      <c r="N105" s="1596"/>
      <c r="O105" s="1596"/>
    </row>
    <row r="106" spans="1:19" ht="15" customHeight="1">
      <c r="F106" s="151" t="s">
        <v>388</v>
      </c>
      <c r="K106" s="1597" t="s">
        <v>298</v>
      </c>
      <c r="L106" s="1597"/>
      <c r="M106" s="1597"/>
      <c r="N106" s="1597"/>
      <c r="O106" s="1597"/>
    </row>
    <row r="107" spans="1:19">
      <c r="B107" s="467"/>
      <c r="D107" s="467"/>
      <c r="F107" s="151" t="s">
        <v>389</v>
      </c>
      <c r="K107" s="1597"/>
      <c r="L107" s="1597"/>
      <c r="M107" s="1597"/>
      <c r="N107" s="1597"/>
      <c r="O107" s="1597"/>
    </row>
    <row r="108" spans="1:19">
      <c r="A108" s="151">
        <v>2</v>
      </c>
      <c r="B108" s="147" t="s">
        <v>405</v>
      </c>
      <c r="C108" s="151">
        <v>4</v>
      </c>
      <c r="D108" s="151" t="s">
        <v>407</v>
      </c>
      <c r="F108" s="151" t="s">
        <v>390</v>
      </c>
      <c r="K108" s="1597"/>
      <c r="L108" s="1597"/>
      <c r="M108" s="1597"/>
      <c r="N108" s="1597"/>
      <c r="O108" s="1597"/>
    </row>
    <row r="109" spans="1:19">
      <c r="B109" s="147" t="s">
        <v>402</v>
      </c>
      <c r="D109" s="151" t="s">
        <v>408</v>
      </c>
      <c r="F109" s="151" t="s">
        <v>417</v>
      </c>
      <c r="K109" s="1597"/>
      <c r="L109" s="1597"/>
      <c r="M109" s="1597"/>
      <c r="N109" s="1597"/>
      <c r="O109" s="1597"/>
    </row>
    <row r="110" spans="1:19">
      <c r="B110" s="147" t="s">
        <v>403</v>
      </c>
      <c r="D110" s="151" t="s">
        <v>409</v>
      </c>
      <c r="K110" s="1597"/>
      <c r="L110" s="1597"/>
      <c r="M110" s="1597"/>
      <c r="N110" s="1597"/>
      <c r="O110" s="1597"/>
    </row>
    <row r="111" spans="1:19">
      <c r="B111" s="147" t="s">
        <v>404</v>
      </c>
      <c r="D111" s="151" t="s">
        <v>410</v>
      </c>
      <c r="K111" s="1597" t="s">
        <v>397</v>
      </c>
      <c r="L111" s="1597"/>
      <c r="M111" s="1597"/>
      <c r="N111" s="1597"/>
      <c r="O111" s="1597"/>
    </row>
    <row r="112" spans="1:19">
      <c r="B112" s="147" t="s">
        <v>396</v>
      </c>
      <c r="D112" s="151" t="s">
        <v>411</v>
      </c>
      <c r="K112" s="1597"/>
      <c r="L112" s="1597"/>
      <c r="M112" s="1597"/>
      <c r="N112" s="1597"/>
      <c r="O112" s="1597"/>
    </row>
    <row r="113" spans="2:15">
      <c r="B113" s="151" t="s">
        <v>417</v>
      </c>
      <c r="D113" s="151" t="s">
        <v>412</v>
      </c>
      <c r="K113" s="1597" t="s">
        <v>398</v>
      </c>
      <c r="L113" s="1597"/>
      <c r="M113" s="1597"/>
      <c r="N113" s="1597"/>
      <c r="O113" s="1597"/>
    </row>
    <row r="114" spans="2:15">
      <c r="D114" s="151" t="s">
        <v>417</v>
      </c>
      <c r="K114" s="1597"/>
      <c r="L114" s="1597"/>
      <c r="M114" s="1597"/>
      <c r="N114" s="1597"/>
      <c r="O114" s="1597"/>
    </row>
    <row r="115" spans="2:15">
      <c r="K115" s="1597"/>
      <c r="L115" s="1597"/>
      <c r="M115" s="1597"/>
      <c r="N115" s="1597"/>
      <c r="O115" s="1597"/>
    </row>
    <row r="116" spans="2:15">
      <c r="K116" s="1597"/>
      <c r="L116" s="1597"/>
      <c r="M116" s="1597"/>
      <c r="N116" s="1597"/>
      <c r="O116" s="1597"/>
    </row>
    <row r="117" spans="2:15">
      <c r="K117" s="1597"/>
      <c r="L117" s="1597"/>
      <c r="M117" s="1597"/>
      <c r="N117" s="1597"/>
      <c r="O117" s="1597"/>
    </row>
    <row r="118" spans="2:15">
      <c r="K118" s="1597" t="s">
        <v>399</v>
      </c>
      <c r="L118" s="1597"/>
      <c r="M118" s="1597"/>
      <c r="N118" s="1597"/>
      <c r="O118" s="1597"/>
    </row>
    <row r="119" spans="2:15">
      <c r="K119" s="1597"/>
      <c r="L119" s="1597"/>
      <c r="M119" s="1597"/>
      <c r="N119" s="1597"/>
      <c r="O119" s="1597"/>
    </row>
    <row r="120" spans="2:15">
      <c r="K120" s="1597" t="s">
        <v>400</v>
      </c>
      <c r="L120" s="1597"/>
      <c r="M120" s="1597"/>
      <c r="N120" s="1597"/>
      <c r="O120" s="1597"/>
    </row>
    <row r="121" spans="2:15">
      <c r="K121" s="1597"/>
      <c r="L121" s="1597"/>
      <c r="M121" s="1597"/>
      <c r="N121" s="1597"/>
      <c r="O121" s="1597"/>
    </row>
    <row r="122" spans="2:15">
      <c r="K122" s="1596" t="s">
        <v>401</v>
      </c>
      <c r="L122" s="1596"/>
      <c r="M122" s="1596"/>
      <c r="N122" s="1596"/>
      <c r="O122" s="1596"/>
    </row>
    <row r="350" spans="2:3" hidden="1"/>
    <row r="351" spans="2:3" hidden="1">
      <c r="B351" s="468" t="e">
        <f>Sismik!D17</f>
        <v>#DIV/0!</v>
      </c>
      <c r="C351" s="469" t="e">
        <f>B351+B352+B353+B354+B355+B356</f>
        <v>#DIV/0!</v>
      </c>
    </row>
    <row r="352" spans="2:3" hidden="1">
      <c r="B352" s="468" t="e">
        <f>Sismik!D44</f>
        <v>#DIV/0!</v>
      </c>
      <c r="C352" s="151">
        <f>COUNTIF(B351:B356,"&gt;0")</f>
        <v>0</v>
      </c>
    </row>
    <row r="353" spans="2:3" hidden="1">
      <c r="B353" s="468" t="e">
        <f>Sismik!D70</f>
        <v>#DIV/0!</v>
      </c>
      <c r="C353" s="469" t="e">
        <f>C351/C352</f>
        <v>#DIV/0!</v>
      </c>
    </row>
    <row r="354" spans="2:3" hidden="1">
      <c r="B354" s="468" t="e">
        <f>Sismik!D96</f>
        <v>#DIV/0!</v>
      </c>
    </row>
    <row r="355" spans="2:3" hidden="1">
      <c r="B355" s="468" t="e">
        <f>Sismik!D122</f>
        <v>#DIV/0!</v>
      </c>
    </row>
    <row r="356" spans="2:3" hidden="1">
      <c r="B356" s="468" t="e">
        <f>Sismik!D148</f>
        <v>#DIV/0!</v>
      </c>
    </row>
    <row r="357" spans="2:3" hidden="1"/>
  </sheetData>
  <sheetProtection algorithmName="SHA-512" hashValue="cdi0BWcT+E0zeK1wo2zO+5TVSo0gXy8lxhR+WrHuby+OJOFLFJV/r+r64ywmSdrHA+kKRGx09IMq/pnNOkV3yw==" saltValue="H5NcSdvmgzNK1kwF0L5yPw==" spinCount="100000" sheet="1" objects="1" scenarios="1"/>
  <mergeCells count="98">
    <mergeCell ref="I40:I41"/>
    <mergeCell ref="M40:M41"/>
    <mergeCell ref="I34:I35"/>
    <mergeCell ref="M34:M35"/>
    <mergeCell ref="I36:I37"/>
    <mergeCell ref="M36:M37"/>
    <mergeCell ref="I38:I39"/>
    <mergeCell ref="M38:M39"/>
    <mergeCell ref="M28:M29"/>
    <mergeCell ref="I30:I31"/>
    <mergeCell ref="M30:M31"/>
    <mergeCell ref="I32:I33"/>
    <mergeCell ref="M32:M33"/>
    <mergeCell ref="J12:J13"/>
    <mergeCell ref="K12:K13"/>
    <mergeCell ref="D15:L15"/>
    <mergeCell ref="C11:D11"/>
    <mergeCell ref="E11:F11"/>
    <mergeCell ref="G11:I11"/>
    <mergeCell ref="A12:A13"/>
    <mergeCell ref="B12:B13"/>
    <mergeCell ref="E12:F13"/>
    <mergeCell ref="G12:I13"/>
    <mergeCell ref="A9:A10"/>
    <mergeCell ref="B9:B10"/>
    <mergeCell ref="E9:F10"/>
    <mergeCell ref="G9:I10"/>
    <mergeCell ref="J9:J10"/>
    <mergeCell ref="K9:K10"/>
    <mergeCell ref="A7:A8"/>
    <mergeCell ref="B7:B8"/>
    <mergeCell ref="E7:F8"/>
    <mergeCell ref="G7:I8"/>
    <mergeCell ref="J7:J8"/>
    <mergeCell ref="K7:K8"/>
    <mergeCell ref="A4:F4"/>
    <mergeCell ref="G4:K4"/>
    <mergeCell ref="A5:A6"/>
    <mergeCell ref="B5:B6"/>
    <mergeCell ref="C5:D6"/>
    <mergeCell ref="E5:F6"/>
    <mergeCell ref="G5:I6"/>
    <mergeCell ref="J5:J6"/>
    <mergeCell ref="K5:K6"/>
    <mergeCell ref="D16:E16"/>
    <mergeCell ref="F16:G16"/>
    <mergeCell ref="D21:E21"/>
    <mergeCell ref="F21:G21"/>
    <mergeCell ref="D20:K20"/>
    <mergeCell ref="N3:X3"/>
    <mergeCell ref="N4:N5"/>
    <mergeCell ref="O4:T5"/>
    <mergeCell ref="U4:W4"/>
    <mergeCell ref="X4:X5"/>
    <mergeCell ref="V5:W5"/>
    <mergeCell ref="O6:T6"/>
    <mergeCell ref="V6:W6"/>
    <mergeCell ref="O7:T7"/>
    <mergeCell ref="V7:W7"/>
    <mergeCell ref="N8:N9"/>
    <mergeCell ref="O8:T9"/>
    <mergeCell ref="V8:W9"/>
    <mergeCell ref="X14:X22"/>
    <mergeCell ref="X8:X9"/>
    <mergeCell ref="O10:T10"/>
    <mergeCell ref="V10:W10"/>
    <mergeCell ref="N11:N13"/>
    <mergeCell ref="O11:T13"/>
    <mergeCell ref="V11:W13"/>
    <mergeCell ref="X11:X13"/>
    <mergeCell ref="K106:O110"/>
    <mergeCell ref="N14:N22"/>
    <mergeCell ref="O14:T22"/>
    <mergeCell ref="U14:U22"/>
    <mergeCell ref="V14:W22"/>
    <mergeCell ref="K101:O101"/>
    <mergeCell ref="K102:O102"/>
    <mergeCell ref="K105:O105"/>
    <mergeCell ref="N25:O25"/>
    <mergeCell ref="K103:O104"/>
    <mergeCell ref="N24:S24"/>
    <mergeCell ref="I27:L27"/>
    <mergeCell ref="I28:I29"/>
    <mergeCell ref="J28:J29"/>
    <mergeCell ref="K28:K29"/>
    <mergeCell ref="L28:L29"/>
    <mergeCell ref="K122:O122"/>
    <mergeCell ref="K111:O112"/>
    <mergeCell ref="K113:O117"/>
    <mergeCell ref="K118:O119"/>
    <mergeCell ref="K120:O121"/>
    <mergeCell ref="D27:F27"/>
    <mergeCell ref="B32:C32"/>
    <mergeCell ref="B34:C34"/>
    <mergeCell ref="B28:C28"/>
    <mergeCell ref="B29:C29"/>
    <mergeCell ref="B30:C30"/>
    <mergeCell ref="B31:C31"/>
  </mergeCells>
  <conditionalFormatting sqref="D34">
    <cfRule type="containsErrors" dxfId="39" priority="3">
      <formula>ISERROR(D34)</formula>
    </cfRule>
  </conditionalFormatting>
  <conditionalFormatting sqref="E29:E34">
    <cfRule type="cellIs" dxfId="38" priority="2" operator="equal">
      <formula>0</formula>
    </cfRule>
  </conditionalFormatting>
  <conditionalFormatting sqref="J17">
    <cfRule type="containsText" dxfId="37" priority="11" operator="containsText" text="YANLIŞ">
      <formula>NOT(ISERROR(SEARCH("YANLIŞ",J17)))</formula>
    </cfRule>
    <cfRule type="containsErrors" dxfId="36" priority="12">
      <formula>ISERROR(J17)</formula>
    </cfRule>
  </conditionalFormatting>
  <conditionalFormatting sqref="J22">
    <cfRule type="containsText" dxfId="35" priority="9" operator="containsText" text="YANLIŞ">
      <formula>NOT(ISERROR(SEARCH("YANLIŞ",J22)))</formula>
    </cfRule>
    <cfRule type="containsErrors" dxfId="34" priority="10">
      <formula>ISERROR(J22)</formula>
    </cfRule>
  </conditionalFormatting>
  <conditionalFormatting sqref="K30:M41">
    <cfRule type="containsErrors" dxfId="33" priority="1">
      <formula>ISERROR(K30)</formula>
    </cfRule>
  </conditionalFormatting>
  <conditionalFormatting sqref="R26">
    <cfRule type="containsText" dxfId="32" priority="13" operator="containsText" text="YANLIŞ">
      <formula>NOT(ISERROR(SEARCH("YANLIŞ",R26)))</formula>
    </cfRule>
    <cfRule type="containsErrors" dxfId="31" priority="14">
      <formula>ISERROR(R26)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Drop Down 3">
              <controlPr locked="0" defaultSize="0" autoLine="0" autoPict="0">
                <anchor moveWithCells="1">
                  <from>
                    <xdr:col>3</xdr:col>
                    <xdr:colOff>247650</xdr:colOff>
                    <xdr:row>16</xdr:row>
                    <xdr:rowOff>0</xdr:rowOff>
                  </from>
                  <to>
                    <xdr:col>4</xdr:col>
                    <xdr:colOff>533400</xdr:colOff>
                    <xdr:row>16</xdr:row>
                    <xdr:rowOff>200025</xdr:rowOff>
                  </to>
                </anchor>
              </controlPr>
            </control>
          </mc:Choice>
        </mc:AlternateContent>
        <mc:AlternateContent xmlns:mc="http://schemas.openxmlformats.org/markup-compatibility/2006">
          <mc:Choice Requires="x14">
            <control shapeId="16389" r:id="rId5" name="Drop Down 5">
              <controlPr locked="0" defaultSize="0" autoLine="0" autoPict="0">
                <anchor moveWithCells="1">
                  <from>
                    <xdr:col>5</xdr:col>
                    <xdr:colOff>200025</xdr:colOff>
                    <xdr:row>15</xdr:row>
                    <xdr:rowOff>190500</xdr:rowOff>
                  </from>
                  <to>
                    <xdr:col>8</xdr:col>
                    <xdr:colOff>180975</xdr:colOff>
                    <xdr:row>16</xdr:row>
                    <xdr:rowOff>190500</xdr:rowOff>
                  </to>
                </anchor>
              </controlPr>
            </control>
          </mc:Choice>
        </mc:AlternateContent>
        <mc:AlternateContent xmlns:mc="http://schemas.openxmlformats.org/markup-compatibility/2006">
          <mc:Choice Requires="x14">
            <control shapeId="16392" r:id="rId6" name="Drop Down 8">
              <controlPr locked="0" defaultSize="0" autoLine="0" autoPict="0">
                <anchor moveWithCells="1">
                  <from>
                    <xdr:col>3</xdr:col>
                    <xdr:colOff>228600</xdr:colOff>
                    <xdr:row>21</xdr:row>
                    <xdr:rowOff>19050</xdr:rowOff>
                  </from>
                  <to>
                    <xdr:col>4</xdr:col>
                    <xdr:colOff>514350</xdr:colOff>
                    <xdr:row>22</xdr:row>
                    <xdr:rowOff>9525</xdr:rowOff>
                  </to>
                </anchor>
              </controlPr>
            </control>
          </mc:Choice>
        </mc:AlternateContent>
        <mc:AlternateContent xmlns:mc="http://schemas.openxmlformats.org/markup-compatibility/2006">
          <mc:Choice Requires="x14">
            <control shapeId="16393" r:id="rId7" name="Drop Down 9">
              <controlPr locked="0" defaultSize="0" autoLine="0" autoPict="0">
                <anchor moveWithCells="1">
                  <from>
                    <xdr:col>5</xdr:col>
                    <xdr:colOff>247650</xdr:colOff>
                    <xdr:row>21</xdr:row>
                    <xdr:rowOff>28575</xdr:rowOff>
                  </from>
                  <to>
                    <xdr:col>8</xdr:col>
                    <xdr:colOff>228600</xdr:colOff>
                    <xdr:row>22</xdr:row>
                    <xdr:rowOff>19050</xdr:rowOff>
                  </to>
                </anchor>
              </controlPr>
            </control>
          </mc:Choice>
        </mc:AlternateContent>
        <mc:AlternateContent xmlns:mc="http://schemas.openxmlformats.org/markup-compatibility/2006">
          <mc:Choice Requires="x14">
            <control shapeId="16400" r:id="rId8" name="Drop Down 16">
              <controlPr locked="0" defaultSize="0" autoLine="0" autoPict="0">
                <anchor moveWithCells="1">
                  <from>
                    <xdr:col>13</xdr:col>
                    <xdr:colOff>228600</xdr:colOff>
                    <xdr:row>25</xdr:row>
                    <xdr:rowOff>19050</xdr:rowOff>
                  </from>
                  <to>
                    <xdr:col>14</xdr:col>
                    <xdr:colOff>514350</xdr:colOff>
                    <xdr:row>26</xdr:row>
                    <xdr:rowOff>9525</xdr:rowOff>
                  </to>
                </anchor>
              </controlPr>
            </control>
          </mc:Choice>
        </mc:AlternateContent>
        <mc:AlternateContent xmlns:mc="http://schemas.openxmlformats.org/markup-compatibility/2006">
          <mc:Choice Requires="x14">
            <control shapeId="16401" r:id="rId9" name="Drop Down 17">
              <controlPr locked="0" defaultSize="0" autoLine="0" autoPict="0">
                <anchor moveWithCells="1">
                  <from>
                    <xdr:col>15</xdr:col>
                    <xdr:colOff>95250</xdr:colOff>
                    <xdr:row>25</xdr:row>
                    <xdr:rowOff>19050</xdr:rowOff>
                  </from>
                  <to>
                    <xdr:col>16</xdr:col>
                    <xdr:colOff>381000</xdr:colOff>
                    <xdr:row>26</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550"/>
  <sheetViews>
    <sheetView showGridLines="0" showRowColHeaders="0" workbookViewId="0">
      <selection activeCell="T16" sqref="T16"/>
    </sheetView>
  </sheetViews>
  <sheetFormatPr defaultRowHeight="15"/>
  <cols>
    <col min="1" max="1" width="6" style="1" customWidth="1"/>
    <col min="2" max="2" width="17" style="1" customWidth="1"/>
    <col min="3" max="3" width="16.28515625" style="1" customWidth="1"/>
    <col min="4" max="4" width="14.28515625" style="1" customWidth="1"/>
    <col min="5" max="5" width="15.140625" style="1" customWidth="1"/>
    <col min="6" max="6" width="10" style="1" customWidth="1"/>
    <col min="7" max="7" width="9" style="1" customWidth="1"/>
    <col min="8" max="8" width="11.42578125" style="1" customWidth="1"/>
    <col min="9" max="9" width="13.42578125" style="1" customWidth="1"/>
    <col min="10" max="10" width="12.5703125" style="1" customWidth="1"/>
    <col min="11" max="11" width="17.7109375" style="1" customWidth="1"/>
    <col min="12" max="12" width="15.140625" style="1" customWidth="1"/>
    <col min="13" max="13" width="17.140625" style="1" customWidth="1"/>
    <col min="14" max="21" width="17.7109375" style="1" customWidth="1"/>
    <col min="22" max="30" width="13.42578125" style="1" customWidth="1"/>
    <col min="31" max="39" width="17.7109375" style="1" customWidth="1"/>
    <col min="40" max="40" width="12.42578125" style="1" bestFit="1" customWidth="1"/>
    <col min="41" max="41" width="7.85546875" style="1" customWidth="1"/>
    <col min="42" max="42" width="9.140625" style="1"/>
    <col min="43" max="43" width="26.7109375" style="1" customWidth="1"/>
    <col min="44" max="44" width="13.5703125" style="1" customWidth="1"/>
    <col min="45" max="45" width="25" style="1" customWidth="1"/>
    <col min="46" max="46" width="15.85546875" style="1" customWidth="1"/>
    <col min="47" max="47" width="14.42578125" style="1" customWidth="1"/>
    <col min="48" max="253" width="9.140625" style="1"/>
    <col min="254" max="254" width="10.28515625" style="1" customWidth="1"/>
    <col min="255" max="255" width="25.7109375" style="1" customWidth="1"/>
    <col min="256" max="257" width="18.28515625" style="1" customWidth="1"/>
    <col min="258" max="258" width="18" style="1" customWidth="1"/>
    <col min="259" max="259" width="18.28515625" style="1" customWidth="1"/>
    <col min="260" max="260" width="18.140625" style="1" customWidth="1"/>
    <col min="261" max="261" width="11.42578125" style="1" customWidth="1"/>
    <col min="262" max="262" width="13.42578125" style="1" customWidth="1"/>
    <col min="263" max="263" width="12.5703125" style="1" customWidth="1"/>
    <col min="264" max="264" width="17.7109375" style="1" customWidth="1"/>
    <col min="265" max="265" width="15.140625" style="1" customWidth="1"/>
    <col min="266" max="266" width="17.140625" style="1" customWidth="1"/>
    <col min="267" max="267" width="18.140625" style="1" customWidth="1"/>
    <col min="268" max="268" width="12.140625" style="1" customWidth="1"/>
    <col min="269" max="269" width="14" style="1" customWidth="1"/>
    <col min="270" max="270" width="13" style="1" bestFit="1" customWidth="1"/>
    <col min="271" max="271" width="8.7109375" style="1" customWidth="1"/>
    <col min="272" max="272" width="4.7109375" style="1" customWidth="1"/>
    <col min="273" max="273" width="10.5703125" style="1" customWidth="1"/>
    <col min="274" max="274" width="13.7109375" style="1" customWidth="1"/>
    <col min="275" max="275" width="13.42578125" style="1" customWidth="1"/>
    <col min="276" max="276" width="12.140625" style="1" customWidth="1"/>
    <col min="277" max="278" width="12.42578125" style="1" customWidth="1"/>
    <col min="279" max="279" width="10.7109375" style="1" customWidth="1"/>
    <col min="280" max="280" width="11.7109375" style="1" customWidth="1"/>
    <col min="281" max="281" width="10.42578125" style="1" customWidth="1"/>
    <col min="282" max="282" width="10.7109375" style="1" customWidth="1"/>
    <col min="283" max="283" width="13.5703125" style="1" customWidth="1"/>
    <col min="284" max="286" width="9.140625" style="1"/>
    <col min="287" max="287" width="4.7109375" style="1" customWidth="1"/>
    <col min="288" max="288" width="9.140625" style="1"/>
    <col min="289" max="289" width="12.42578125" style="1" bestFit="1" customWidth="1"/>
    <col min="290" max="290" width="4.42578125" style="1" customWidth="1"/>
    <col min="291" max="291" width="31.85546875" style="1" customWidth="1"/>
    <col min="292" max="292" width="12.7109375" style="1" customWidth="1"/>
    <col min="293" max="293" width="12.28515625" style="1" customWidth="1"/>
    <col min="294" max="294" width="9.140625" style="1"/>
    <col min="295" max="296" width="12.42578125" style="1" bestFit="1" customWidth="1"/>
    <col min="297" max="297" width="7.85546875" style="1" customWidth="1"/>
    <col min="298" max="298" width="9.140625" style="1"/>
    <col min="299" max="299" width="26.7109375" style="1" customWidth="1"/>
    <col min="300" max="300" width="13.5703125" style="1" customWidth="1"/>
    <col min="301" max="301" width="25" style="1" customWidth="1"/>
    <col min="302" max="302" width="15.85546875" style="1" customWidth="1"/>
    <col min="303" max="303" width="14.42578125" style="1" customWidth="1"/>
    <col min="304" max="509" width="9.140625" style="1"/>
    <col min="510" max="510" width="10.28515625" style="1" customWidth="1"/>
    <col min="511" max="511" width="25.7109375" style="1" customWidth="1"/>
    <col min="512" max="513" width="18.28515625" style="1" customWidth="1"/>
    <col min="514" max="514" width="18" style="1" customWidth="1"/>
    <col min="515" max="515" width="18.28515625" style="1" customWidth="1"/>
    <col min="516" max="516" width="18.140625" style="1" customWidth="1"/>
    <col min="517" max="517" width="11.42578125" style="1" customWidth="1"/>
    <col min="518" max="518" width="13.42578125" style="1" customWidth="1"/>
    <col min="519" max="519" width="12.5703125" style="1" customWidth="1"/>
    <col min="520" max="520" width="17.7109375" style="1" customWidth="1"/>
    <col min="521" max="521" width="15.140625" style="1" customWidth="1"/>
    <col min="522" max="522" width="17.140625" style="1" customWidth="1"/>
    <col min="523" max="523" width="18.140625" style="1" customWidth="1"/>
    <col min="524" max="524" width="12.140625" style="1" customWidth="1"/>
    <col min="525" max="525" width="14" style="1" customWidth="1"/>
    <col min="526" max="526" width="13" style="1" bestFit="1" customWidth="1"/>
    <col min="527" max="527" width="8.7109375" style="1" customWidth="1"/>
    <col min="528" max="528" width="4.7109375" style="1" customWidth="1"/>
    <col min="529" max="529" width="10.5703125" style="1" customWidth="1"/>
    <col min="530" max="530" width="13.7109375" style="1" customWidth="1"/>
    <col min="531" max="531" width="13.42578125" style="1" customWidth="1"/>
    <col min="532" max="532" width="12.140625" style="1" customWidth="1"/>
    <col min="533" max="534" width="12.42578125" style="1" customWidth="1"/>
    <col min="535" max="535" width="10.7109375" style="1" customWidth="1"/>
    <col min="536" max="536" width="11.7109375" style="1" customWidth="1"/>
    <col min="537" max="537" width="10.42578125" style="1" customWidth="1"/>
    <col min="538" max="538" width="10.7109375" style="1" customWidth="1"/>
    <col min="539" max="539" width="13.5703125" style="1" customWidth="1"/>
    <col min="540" max="542" width="9.140625" style="1"/>
    <col min="543" max="543" width="4.7109375" style="1" customWidth="1"/>
    <col min="544" max="544" width="9.140625" style="1"/>
    <col min="545" max="545" width="12.42578125" style="1" bestFit="1" customWidth="1"/>
    <col min="546" max="546" width="4.42578125" style="1" customWidth="1"/>
    <col min="547" max="547" width="31.85546875" style="1" customWidth="1"/>
    <col min="548" max="548" width="12.7109375" style="1" customWidth="1"/>
    <col min="549" max="549" width="12.28515625" style="1" customWidth="1"/>
    <col min="550" max="550" width="9.140625" style="1"/>
    <col min="551" max="552" width="12.42578125" style="1" bestFit="1" customWidth="1"/>
    <col min="553" max="553" width="7.85546875" style="1" customWidth="1"/>
    <col min="554" max="554" width="9.140625" style="1"/>
    <col min="555" max="555" width="26.7109375" style="1" customWidth="1"/>
    <col min="556" max="556" width="13.5703125" style="1" customWidth="1"/>
    <col min="557" max="557" width="25" style="1" customWidth="1"/>
    <col min="558" max="558" width="15.85546875" style="1" customWidth="1"/>
    <col min="559" max="559" width="14.42578125" style="1" customWidth="1"/>
    <col min="560" max="765" width="9.140625" style="1"/>
    <col min="766" max="766" width="10.28515625" style="1" customWidth="1"/>
    <col min="767" max="767" width="25.7109375" style="1" customWidth="1"/>
    <col min="768" max="769" width="18.28515625" style="1" customWidth="1"/>
    <col min="770" max="770" width="18" style="1" customWidth="1"/>
    <col min="771" max="771" width="18.28515625" style="1" customWidth="1"/>
    <col min="772" max="772" width="18.140625" style="1" customWidth="1"/>
    <col min="773" max="773" width="11.42578125" style="1" customWidth="1"/>
    <col min="774" max="774" width="13.42578125" style="1" customWidth="1"/>
    <col min="775" max="775" width="12.5703125" style="1" customWidth="1"/>
    <col min="776" max="776" width="17.7109375" style="1" customWidth="1"/>
    <col min="777" max="777" width="15.140625" style="1" customWidth="1"/>
    <col min="778" max="778" width="17.140625" style="1" customWidth="1"/>
    <col min="779" max="779" width="18.140625" style="1" customWidth="1"/>
    <col min="780" max="780" width="12.140625" style="1" customWidth="1"/>
    <col min="781" max="781" width="14" style="1" customWidth="1"/>
    <col min="782" max="782" width="13" style="1" bestFit="1" customWidth="1"/>
    <col min="783" max="783" width="8.7109375" style="1" customWidth="1"/>
    <col min="784" max="784" width="4.7109375" style="1" customWidth="1"/>
    <col min="785" max="785" width="10.5703125" style="1" customWidth="1"/>
    <col min="786" max="786" width="13.7109375" style="1" customWidth="1"/>
    <col min="787" max="787" width="13.42578125" style="1" customWidth="1"/>
    <col min="788" max="788" width="12.140625" style="1" customWidth="1"/>
    <col min="789" max="790" width="12.42578125" style="1" customWidth="1"/>
    <col min="791" max="791" width="10.7109375" style="1" customWidth="1"/>
    <col min="792" max="792" width="11.7109375" style="1" customWidth="1"/>
    <col min="793" max="793" width="10.42578125" style="1" customWidth="1"/>
    <col min="794" max="794" width="10.7109375" style="1" customWidth="1"/>
    <col min="795" max="795" width="13.5703125" style="1" customWidth="1"/>
    <col min="796" max="798" width="9.140625" style="1"/>
    <col min="799" max="799" width="4.7109375" style="1" customWidth="1"/>
    <col min="800" max="800" width="9.140625" style="1"/>
    <col min="801" max="801" width="12.42578125" style="1" bestFit="1" customWidth="1"/>
    <col min="802" max="802" width="4.42578125" style="1" customWidth="1"/>
    <col min="803" max="803" width="31.85546875" style="1" customWidth="1"/>
    <col min="804" max="804" width="12.7109375" style="1" customWidth="1"/>
    <col min="805" max="805" width="12.28515625" style="1" customWidth="1"/>
    <col min="806" max="806" width="9.140625" style="1"/>
    <col min="807" max="808" width="12.42578125" style="1" bestFit="1" customWidth="1"/>
    <col min="809" max="809" width="7.85546875" style="1" customWidth="1"/>
    <col min="810" max="810" width="9.140625" style="1"/>
    <col min="811" max="811" width="26.7109375" style="1" customWidth="1"/>
    <col min="812" max="812" width="13.5703125" style="1" customWidth="1"/>
    <col min="813" max="813" width="25" style="1" customWidth="1"/>
    <col min="814" max="814" width="15.85546875" style="1" customWidth="1"/>
    <col min="815" max="815" width="14.42578125" style="1" customWidth="1"/>
    <col min="816" max="1021" width="9.140625" style="1"/>
    <col min="1022" max="1022" width="10.28515625" style="1" customWidth="1"/>
    <col min="1023" max="1023" width="25.7109375" style="1" customWidth="1"/>
    <col min="1024" max="1025" width="18.28515625" style="1" customWidth="1"/>
    <col min="1026" max="1026" width="18" style="1" customWidth="1"/>
    <col min="1027" max="1027" width="18.28515625" style="1" customWidth="1"/>
    <col min="1028" max="1028" width="18.140625" style="1" customWidth="1"/>
    <col min="1029" max="1029" width="11.42578125" style="1" customWidth="1"/>
    <col min="1030" max="1030" width="13.42578125" style="1" customWidth="1"/>
    <col min="1031" max="1031" width="12.5703125" style="1" customWidth="1"/>
    <col min="1032" max="1032" width="17.7109375" style="1" customWidth="1"/>
    <col min="1033" max="1033" width="15.140625" style="1" customWidth="1"/>
    <col min="1034" max="1034" width="17.140625" style="1" customWidth="1"/>
    <col min="1035" max="1035" width="18.140625" style="1" customWidth="1"/>
    <col min="1036" max="1036" width="12.140625" style="1" customWidth="1"/>
    <col min="1037" max="1037" width="14" style="1" customWidth="1"/>
    <col min="1038" max="1038" width="13" style="1" bestFit="1" customWidth="1"/>
    <col min="1039" max="1039" width="8.7109375" style="1" customWidth="1"/>
    <col min="1040" max="1040" width="4.7109375" style="1" customWidth="1"/>
    <col min="1041" max="1041" width="10.5703125" style="1" customWidth="1"/>
    <col min="1042" max="1042" width="13.7109375" style="1" customWidth="1"/>
    <col min="1043" max="1043" width="13.42578125" style="1" customWidth="1"/>
    <col min="1044" max="1044" width="12.140625" style="1" customWidth="1"/>
    <col min="1045" max="1046" width="12.42578125" style="1" customWidth="1"/>
    <col min="1047" max="1047" width="10.7109375" style="1" customWidth="1"/>
    <col min="1048" max="1048" width="11.7109375" style="1" customWidth="1"/>
    <col min="1049" max="1049" width="10.42578125" style="1" customWidth="1"/>
    <col min="1050" max="1050" width="10.7109375" style="1" customWidth="1"/>
    <col min="1051" max="1051" width="13.5703125" style="1" customWidth="1"/>
    <col min="1052" max="1054" width="9.140625" style="1"/>
    <col min="1055" max="1055" width="4.7109375" style="1" customWidth="1"/>
    <col min="1056" max="1056" width="9.140625" style="1"/>
    <col min="1057" max="1057" width="12.42578125" style="1" bestFit="1" customWidth="1"/>
    <col min="1058" max="1058" width="4.42578125" style="1" customWidth="1"/>
    <col min="1059" max="1059" width="31.85546875" style="1" customWidth="1"/>
    <col min="1060" max="1060" width="12.7109375" style="1" customWidth="1"/>
    <col min="1061" max="1061" width="12.28515625" style="1" customWidth="1"/>
    <col min="1062" max="1062" width="9.140625" style="1"/>
    <col min="1063" max="1064" width="12.42578125" style="1" bestFit="1" customWidth="1"/>
    <col min="1065" max="1065" width="7.85546875" style="1" customWidth="1"/>
    <col min="1066" max="1066" width="9.140625" style="1"/>
    <col min="1067" max="1067" width="26.7109375" style="1" customWidth="1"/>
    <col min="1068" max="1068" width="13.5703125" style="1" customWidth="1"/>
    <col min="1069" max="1069" width="25" style="1" customWidth="1"/>
    <col min="1070" max="1070" width="15.85546875" style="1" customWidth="1"/>
    <col min="1071" max="1071" width="14.42578125" style="1" customWidth="1"/>
    <col min="1072" max="1277" width="9.140625" style="1"/>
    <col min="1278" max="1278" width="10.28515625" style="1" customWidth="1"/>
    <col min="1279" max="1279" width="25.7109375" style="1" customWidth="1"/>
    <col min="1280" max="1281" width="18.28515625" style="1" customWidth="1"/>
    <col min="1282" max="1282" width="18" style="1" customWidth="1"/>
    <col min="1283" max="1283" width="18.28515625" style="1" customWidth="1"/>
    <col min="1284" max="1284" width="18.140625" style="1" customWidth="1"/>
    <col min="1285" max="1285" width="11.42578125" style="1" customWidth="1"/>
    <col min="1286" max="1286" width="13.42578125" style="1" customWidth="1"/>
    <col min="1287" max="1287" width="12.5703125" style="1" customWidth="1"/>
    <col min="1288" max="1288" width="17.7109375" style="1" customWidth="1"/>
    <col min="1289" max="1289" width="15.140625" style="1" customWidth="1"/>
    <col min="1290" max="1290" width="17.140625" style="1" customWidth="1"/>
    <col min="1291" max="1291" width="18.140625" style="1" customWidth="1"/>
    <col min="1292" max="1292" width="12.140625" style="1" customWidth="1"/>
    <col min="1293" max="1293" width="14" style="1" customWidth="1"/>
    <col min="1294" max="1294" width="13" style="1" bestFit="1" customWidth="1"/>
    <col min="1295" max="1295" width="8.7109375" style="1" customWidth="1"/>
    <col min="1296" max="1296" width="4.7109375" style="1" customWidth="1"/>
    <col min="1297" max="1297" width="10.5703125" style="1" customWidth="1"/>
    <col min="1298" max="1298" width="13.7109375" style="1" customWidth="1"/>
    <col min="1299" max="1299" width="13.42578125" style="1" customWidth="1"/>
    <col min="1300" max="1300" width="12.140625" style="1" customWidth="1"/>
    <col min="1301" max="1302" width="12.42578125" style="1" customWidth="1"/>
    <col min="1303" max="1303" width="10.7109375" style="1" customWidth="1"/>
    <col min="1304" max="1304" width="11.7109375" style="1" customWidth="1"/>
    <col min="1305" max="1305" width="10.42578125" style="1" customWidth="1"/>
    <col min="1306" max="1306" width="10.7109375" style="1" customWidth="1"/>
    <col min="1307" max="1307" width="13.5703125" style="1" customWidth="1"/>
    <col min="1308" max="1310" width="9.140625" style="1"/>
    <col min="1311" max="1311" width="4.7109375" style="1" customWidth="1"/>
    <col min="1312" max="1312" width="9.140625" style="1"/>
    <col min="1313" max="1313" width="12.42578125" style="1" bestFit="1" customWidth="1"/>
    <col min="1314" max="1314" width="4.42578125" style="1" customWidth="1"/>
    <col min="1315" max="1315" width="31.85546875" style="1" customWidth="1"/>
    <col min="1316" max="1316" width="12.7109375" style="1" customWidth="1"/>
    <col min="1317" max="1317" width="12.28515625" style="1" customWidth="1"/>
    <col min="1318" max="1318" width="9.140625" style="1"/>
    <col min="1319" max="1320" width="12.42578125" style="1" bestFit="1" customWidth="1"/>
    <col min="1321" max="1321" width="7.85546875" style="1" customWidth="1"/>
    <col min="1322" max="1322" width="9.140625" style="1"/>
    <col min="1323" max="1323" width="26.7109375" style="1" customWidth="1"/>
    <col min="1324" max="1324" width="13.5703125" style="1" customWidth="1"/>
    <col min="1325" max="1325" width="25" style="1" customWidth="1"/>
    <col min="1326" max="1326" width="15.85546875" style="1" customWidth="1"/>
    <col min="1327" max="1327" width="14.42578125" style="1" customWidth="1"/>
    <col min="1328" max="1533" width="9.140625" style="1"/>
    <col min="1534" max="1534" width="10.28515625" style="1" customWidth="1"/>
    <col min="1535" max="1535" width="25.7109375" style="1" customWidth="1"/>
    <col min="1536" max="1537" width="18.28515625" style="1" customWidth="1"/>
    <col min="1538" max="1538" width="18" style="1" customWidth="1"/>
    <col min="1539" max="1539" width="18.28515625" style="1" customWidth="1"/>
    <col min="1540" max="1540" width="18.140625" style="1" customWidth="1"/>
    <col min="1541" max="1541" width="11.42578125" style="1" customWidth="1"/>
    <col min="1542" max="1542" width="13.42578125" style="1" customWidth="1"/>
    <col min="1543" max="1543" width="12.5703125" style="1" customWidth="1"/>
    <col min="1544" max="1544" width="17.7109375" style="1" customWidth="1"/>
    <col min="1545" max="1545" width="15.140625" style="1" customWidth="1"/>
    <col min="1546" max="1546" width="17.140625" style="1" customWidth="1"/>
    <col min="1547" max="1547" width="18.140625" style="1" customWidth="1"/>
    <col min="1548" max="1548" width="12.140625" style="1" customWidth="1"/>
    <col min="1549" max="1549" width="14" style="1" customWidth="1"/>
    <col min="1550" max="1550" width="13" style="1" bestFit="1" customWidth="1"/>
    <col min="1551" max="1551" width="8.7109375" style="1" customWidth="1"/>
    <col min="1552" max="1552" width="4.7109375" style="1" customWidth="1"/>
    <col min="1553" max="1553" width="10.5703125" style="1" customWidth="1"/>
    <col min="1554" max="1554" width="13.7109375" style="1" customWidth="1"/>
    <col min="1555" max="1555" width="13.42578125" style="1" customWidth="1"/>
    <col min="1556" max="1556" width="12.140625" style="1" customWidth="1"/>
    <col min="1557" max="1558" width="12.42578125" style="1" customWidth="1"/>
    <col min="1559" max="1559" width="10.7109375" style="1" customWidth="1"/>
    <col min="1560" max="1560" width="11.7109375" style="1" customWidth="1"/>
    <col min="1561" max="1561" width="10.42578125" style="1" customWidth="1"/>
    <col min="1562" max="1562" width="10.7109375" style="1" customWidth="1"/>
    <col min="1563" max="1563" width="13.5703125" style="1" customWidth="1"/>
    <col min="1564" max="1566" width="9.140625" style="1"/>
    <col min="1567" max="1567" width="4.7109375" style="1" customWidth="1"/>
    <col min="1568" max="1568" width="9.140625" style="1"/>
    <col min="1569" max="1569" width="12.42578125" style="1" bestFit="1" customWidth="1"/>
    <col min="1570" max="1570" width="4.42578125" style="1" customWidth="1"/>
    <col min="1571" max="1571" width="31.85546875" style="1" customWidth="1"/>
    <col min="1572" max="1572" width="12.7109375" style="1" customWidth="1"/>
    <col min="1573" max="1573" width="12.28515625" style="1" customWidth="1"/>
    <col min="1574" max="1574" width="9.140625" style="1"/>
    <col min="1575" max="1576" width="12.42578125" style="1" bestFit="1" customWidth="1"/>
    <col min="1577" max="1577" width="7.85546875" style="1" customWidth="1"/>
    <col min="1578" max="1578" width="9.140625" style="1"/>
    <col min="1579" max="1579" width="26.7109375" style="1" customWidth="1"/>
    <col min="1580" max="1580" width="13.5703125" style="1" customWidth="1"/>
    <col min="1581" max="1581" width="25" style="1" customWidth="1"/>
    <col min="1582" max="1582" width="15.85546875" style="1" customWidth="1"/>
    <col min="1583" max="1583" width="14.42578125" style="1" customWidth="1"/>
    <col min="1584" max="1789" width="9.140625" style="1"/>
    <col min="1790" max="1790" width="10.28515625" style="1" customWidth="1"/>
    <col min="1791" max="1791" width="25.7109375" style="1" customWidth="1"/>
    <col min="1792" max="1793" width="18.28515625" style="1" customWidth="1"/>
    <col min="1794" max="1794" width="18" style="1" customWidth="1"/>
    <col min="1795" max="1795" width="18.28515625" style="1" customWidth="1"/>
    <col min="1796" max="1796" width="18.140625" style="1" customWidth="1"/>
    <col min="1797" max="1797" width="11.42578125" style="1" customWidth="1"/>
    <col min="1798" max="1798" width="13.42578125" style="1" customWidth="1"/>
    <col min="1799" max="1799" width="12.5703125" style="1" customWidth="1"/>
    <col min="1800" max="1800" width="17.7109375" style="1" customWidth="1"/>
    <col min="1801" max="1801" width="15.140625" style="1" customWidth="1"/>
    <col min="1802" max="1802" width="17.140625" style="1" customWidth="1"/>
    <col min="1803" max="1803" width="18.140625" style="1" customWidth="1"/>
    <col min="1804" max="1804" width="12.140625" style="1" customWidth="1"/>
    <col min="1805" max="1805" width="14" style="1" customWidth="1"/>
    <col min="1806" max="1806" width="13" style="1" bestFit="1" customWidth="1"/>
    <col min="1807" max="1807" width="8.7109375" style="1" customWidth="1"/>
    <col min="1808" max="1808" width="4.7109375" style="1" customWidth="1"/>
    <col min="1809" max="1809" width="10.5703125" style="1" customWidth="1"/>
    <col min="1810" max="1810" width="13.7109375" style="1" customWidth="1"/>
    <col min="1811" max="1811" width="13.42578125" style="1" customWidth="1"/>
    <col min="1812" max="1812" width="12.140625" style="1" customWidth="1"/>
    <col min="1813" max="1814" width="12.42578125" style="1" customWidth="1"/>
    <col min="1815" max="1815" width="10.7109375" style="1" customWidth="1"/>
    <col min="1816" max="1816" width="11.7109375" style="1" customWidth="1"/>
    <col min="1817" max="1817" width="10.42578125" style="1" customWidth="1"/>
    <col min="1818" max="1818" width="10.7109375" style="1" customWidth="1"/>
    <col min="1819" max="1819" width="13.5703125" style="1" customWidth="1"/>
    <col min="1820" max="1822" width="9.140625" style="1"/>
    <col min="1823" max="1823" width="4.7109375" style="1" customWidth="1"/>
    <col min="1824" max="1824" width="9.140625" style="1"/>
    <col min="1825" max="1825" width="12.42578125" style="1" bestFit="1" customWidth="1"/>
    <col min="1826" max="1826" width="4.42578125" style="1" customWidth="1"/>
    <col min="1827" max="1827" width="31.85546875" style="1" customWidth="1"/>
    <col min="1828" max="1828" width="12.7109375" style="1" customWidth="1"/>
    <col min="1829" max="1829" width="12.28515625" style="1" customWidth="1"/>
    <col min="1830" max="1830" width="9.140625" style="1"/>
    <col min="1831" max="1832" width="12.42578125" style="1" bestFit="1" customWidth="1"/>
    <col min="1833" max="1833" width="7.85546875" style="1" customWidth="1"/>
    <col min="1834" max="1834" width="9.140625" style="1"/>
    <col min="1835" max="1835" width="26.7109375" style="1" customWidth="1"/>
    <col min="1836" max="1836" width="13.5703125" style="1" customWidth="1"/>
    <col min="1837" max="1837" width="25" style="1" customWidth="1"/>
    <col min="1838" max="1838" width="15.85546875" style="1" customWidth="1"/>
    <col min="1839" max="1839" width="14.42578125" style="1" customWidth="1"/>
    <col min="1840" max="2045" width="9.140625" style="1"/>
    <col min="2046" max="2046" width="10.28515625" style="1" customWidth="1"/>
    <col min="2047" max="2047" width="25.7109375" style="1" customWidth="1"/>
    <col min="2048" max="2049" width="18.28515625" style="1" customWidth="1"/>
    <col min="2050" max="2050" width="18" style="1" customWidth="1"/>
    <col min="2051" max="2051" width="18.28515625" style="1" customWidth="1"/>
    <col min="2052" max="2052" width="18.140625" style="1" customWidth="1"/>
    <col min="2053" max="2053" width="11.42578125" style="1" customWidth="1"/>
    <col min="2054" max="2054" width="13.42578125" style="1" customWidth="1"/>
    <col min="2055" max="2055" width="12.5703125" style="1" customWidth="1"/>
    <col min="2056" max="2056" width="17.7109375" style="1" customWidth="1"/>
    <col min="2057" max="2057" width="15.140625" style="1" customWidth="1"/>
    <col min="2058" max="2058" width="17.140625" style="1" customWidth="1"/>
    <col min="2059" max="2059" width="18.140625" style="1" customWidth="1"/>
    <col min="2060" max="2060" width="12.140625" style="1" customWidth="1"/>
    <col min="2061" max="2061" width="14" style="1" customWidth="1"/>
    <col min="2062" max="2062" width="13" style="1" bestFit="1" customWidth="1"/>
    <col min="2063" max="2063" width="8.7109375" style="1" customWidth="1"/>
    <col min="2064" max="2064" width="4.7109375" style="1" customWidth="1"/>
    <col min="2065" max="2065" width="10.5703125" style="1" customWidth="1"/>
    <col min="2066" max="2066" width="13.7109375" style="1" customWidth="1"/>
    <col min="2067" max="2067" width="13.42578125" style="1" customWidth="1"/>
    <col min="2068" max="2068" width="12.140625" style="1" customWidth="1"/>
    <col min="2069" max="2070" width="12.42578125" style="1" customWidth="1"/>
    <col min="2071" max="2071" width="10.7109375" style="1" customWidth="1"/>
    <col min="2072" max="2072" width="11.7109375" style="1" customWidth="1"/>
    <col min="2073" max="2073" width="10.42578125" style="1" customWidth="1"/>
    <col min="2074" max="2074" width="10.7109375" style="1" customWidth="1"/>
    <col min="2075" max="2075" width="13.5703125" style="1" customWidth="1"/>
    <col min="2076" max="2078" width="9.140625" style="1"/>
    <col min="2079" max="2079" width="4.7109375" style="1" customWidth="1"/>
    <col min="2080" max="2080" width="9.140625" style="1"/>
    <col min="2081" max="2081" width="12.42578125" style="1" bestFit="1" customWidth="1"/>
    <col min="2082" max="2082" width="4.42578125" style="1" customWidth="1"/>
    <col min="2083" max="2083" width="31.85546875" style="1" customWidth="1"/>
    <col min="2084" max="2084" width="12.7109375" style="1" customWidth="1"/>
    <col min="2085" max="2085" width="12.28515625" style="1" customWidth="1"/>
    <col min="2086" max="2086" width="9.140625" style="1"/>
    <col min="2087" max="2088" width="12.42578125" style="1" bestFit="1" customWidth="1"/>
    <col min="2089" max="2089" width="7.85546875" style="1" customWidth="1"/>
    <col min="2090" max="2090" width="9.140625" style="1"/>
    <col min="2091" max="2091" width="26.7109375" style="1" customWidth="1"/>
    <col min="2092" max="2092" width="13.5703125" style="1" customWidth="1"/>
    <col min="2093" max="2093" width="25" style="1" customWidth="1"/>
    <col min="2094" max="2094" width="15.85546875" style="1" customWidth="1"/>
    <col min="2095" max="2095" width="14.42578125" style="1" customWidth="1"/>
    <col min="2096" max="2301" width="9.140625" style="1"/>
    <col min="2302" max="2302" width="10.28515625" style="1" customWidth="1"/>
    <col min="2303" max="2303" width="25.7109375" style="1" customWidth="1"/>
    <col min="2304" max="2305" width="18.28515625" style="1" customWidth="1"/>
    <col min="2306" max="2306" width="18" style="1" customWidth="1"/>
    <col min="2307" max="2307" width="18.28515625" style="1" customWidth="1"/>
    <col min="2308" max="2308" width="18.140625" style="1" customWidth="1"/>
    <col min="2309" max="2309" width="11.42578125" style="1" customWidth="1"/>
    <col min="2310" max="2310" width="13.42578125" style="1" customWidth="1"/>
    <col min="2311" max="2311" width="12.5703125" style="1" customWidth="1"/>
    <col min="2312" max="2312" width="17.7109375" style="1" customWidth="1"/>
    <col min="2313" max="2313" width="15.140625" style="1" customWidth="1"/>
    <col min="2314" max="2314" width="17.140625" style="1" customWidth="1"/>
    <col min="2315" max="2315" width="18.140625" style="1" customWidth="1"/>
    <col min="2316" max="2316" width="12.140625" style="1" customWidth="1"/>
    <col min="2317" max="2317" width="14" style="1" customWidth="1"/>
    <col min="2318" max="2318" width="13" style="1" bestFit="1" customWidth="1"/>
    <col min="2319" max="2319" width="8.7109375" style="1" customWidth="1"/>
    <col min="2320" max="2320" width="4.7109375" style="1" customWidth="1"/>
    <col min="2321" max="2321" width="10.5703125" style="1" customWidth="1"/>
    <col min="2322" max="2322" width="13.7109375" style="1" customWidth="1"/>
    <col min="2323" max="2323" width="13.42578125" style="1" customWidth="1"/>
    <col min="2324" max="2324" width="12.140625" style="1" customWidth="1"/>
    <col min="2325" max="2326" width="12.42578125" style="1" customWidth="1"/>
    <col min="2327" max="2327" width="10.7109375" style="1" customWidth="1"/>
    <col min="2328" max="2328" width="11.7109375" style="1" customWidth="1"/>
    <col min="2329" max="2329" width="10.42578125" style="1" customWidth="1"/>
    <col min="2330" max="2330" width="10.7109375" style="1" customWidth="1"/>
    <col min="2331" max="2331" width="13.5703125" style="1" customWidth="1"/>
    <col min="2332" max="2334" width="9.140625" style="1"/>
    <col min="2335" max="2335" width="4.7109375" style="1" customWidth="1"/>
    <col min="2336" max="2336" width="9.140625" style="1"/>
    <col min="2337" max="2337" width="12.42578125" style="1" bestFit="1" customWidth="1"/>
    <col min="2338" max="2338" width="4.42578125" style="1" customWidth="1"/>
    <col min="2339" max="2339" width="31.85546875" style="1" customWidth="1"/>
    <col min="2340" max="2340" width="12.7109375" style="1" customWidth="1"/>
    <col min="2341" max="2341" width="12.28515625" style="1" customWidth="1"/>
    <col min="2342" max="2342" width="9.140625" style="1"/>
    <col min="2343" max="2344" width="12.42578125" style="1" bestFit="1" customWidth="1"/>
    <col min="2345" max="2345" width="7.85546875" style="1" customWidth="1"/>
    <col min="2346" max="2346" width="9.140625" style="1"/>
    <col min="2347" max="2347" width="26.7109375" style="1" customWidth="1"/>
    <col min="2348" max="2348" width="13.5703125" style="1" customWidth="1"/>
    <col min="2349" max="2349" width="25" style="1" customWidth="1"/>
    <col min="2350" max="2350" width="15.85546875" style="1" customWidth="1"/>
    <col min="2351" max="2351" width="14.42578125" style="1" customWidth="1"/>
    <col min="2352" max="2557" width="9.140625" style="1"/>
    <col min="2558" max="2558" width="10.28515625" style="1" customWidth="1"/>
    <col min="2559" max="2559" width="25.7109375" style="1" customWidth="1"/>
    <col min="2560" max="2561" width="18.28515625" style="1" customWidth="1"/>
    <col min="2562" max="2562" width="18" style="1" customWidth="1"/>
    <col min="2563" max="2563" width="18.28515625" style="1" customWidth="1"/>
    <col min="2564" max="2564" width="18.140625" style="1" customWidth="1"/>
    <col min="2565" max="2565" width="11.42578125" style="1" customWidth="1"/>
    <col min="2566" max="2566" width="13.42578125" style="1" customWidth="1"/>
    <col min="2567" max="2567" width="12.5703125" style="1" customWidth="1"/>
    <col min="2568" max="2568" width="17.7109375" style="1" customWidth="1"/>
    <col min="2569" max="2569" width="15.140625" style="1" customWidth="1"/>
    <col min="2570" max="2570" width="17.140625" style="1" customWidth="1"/>
    <col min="2571" max="2571" width="18.140625" style="1" customWidth="1"/>
    <col min="2572" max="2572" width="12.140625" style="1" customWidth="1"/>
    <col min="2573" max="2573" width="14" style="1" customWidth="1"/>
    <col min="2574" max="2574" width="13" style="1" bestFit="1" customWidth="1"/>
    <col min="2575" max="2575" width="8.7109375" style="1" customWidth="1"/>
    <col min="2576" max="2576" width="4.7109375" style="1" customWidth="1"/>
    <col min="2577" max="2577" width="10.5703125" style="1" customWidth="1"/>
    <col min="2578" max="2578" width="13.7109375" style="1" customWidth="1"/>
    <col min="2579" max="2579" width="13.42578125" style="1" customWidth="1"/>
    <col min="2580" max="2580" width="12.140625" style="1" customWidth="1"/>
    <col min="2581" max="2582" width="12.42578125" style="1" customWidth="1"/>
    <col min="2583" max="2583" width="10.7109375" style="1" customWidth="1"/>
    <col min="2584" max="2584" width="11.7109375" style="1" customWidth="1"/>
    <col min="2585" max="2585" width="10.42578125" style="1" customWidth="1"/>
    <col min="2586" max="2586" width="10.7109375" style="1" customWidth="1"/>
    <col min="2587" max="2587" width="13.5703125" style="1" customWidth="1"/>
    <col min="2588" max="2590" width="9.140625" style="1"/>
    <col min="2591" max="2591" width="4.7109375" style="1" customWidth="1"/>
    <col min="2592" max="2592" width="9.140625" style="1"/>
    <col min="2593" max="2593" width="12.42578125" style="1" bestFit="1" customWidth="1"/>
    <col min="2594" max="2594" width="4.42578125" style="1" customWidth="1"/>
    <col min="2595" max="2595" width="31.85546875" style="1" customWidth="1"/>
    <col min="2596" max="2596" width="12.7109375" style="1" customWidth="1"/>
    <col min="2597" max="2597" width="12.28515625" style="1" customWidth="1"/>
    <col min="2598" max="2598" width="9.140625" style="1"/>
    <col min="2599" max="2600" width="12.42578125" style="1" bestFit="1" customWidth="1"/>
    <col min="2601" max="2601" width="7.85546875" style="1" customWidth="1"/>
    <col min="2602" max="2602" width="9.140625" style="1"/>
    <col min="2603" max="2603" width="26.7109375" style="1" customWidth="1"/>
    <col min="2604" max="2604" width="13.5703125" style="1" customWidth="1"/>
    <col min="2605" max="2605" width="25" style="1" customWidth="1"/>
    <col min="2606" max="2606" width="15.85546875" style="1" customWidth="1"/>
    <col min="2607" max="2607" width="14.42578125" style="1" customWidth="1"/>
    <col min="2608" max="2813" width="9.140625" style="1"/>
    <col min="2814" max="2814" width="10.28515625" style="1" customWidth="1"/>
    <col min="2815" max="2815" width="25.7109375" style="1" customWidth="1"/>
    <col min="2816" max="2817" width="18.28515625" style="1" customWidth="1"/>
    <col min="2818" max="2818" width="18" style="1" customWidth="1"/>
    <col min="2819" max="2819" width="18.28515625" style="1" customWidth="1"/>
    <col min="2820" max="2820" width="18.140625" style="1" customWidth="1"/>
    <col min="2821" max="2821" width="11.42578125" style="1" customWidth="1"/>
    <col min="2822" max="2822" width="13.42578125" style="1" customWidth="1"/>
    <col min="2823" max="2823" width="12.5703125" style="1" customWidth="1"/>
    <col min="2824" max="2824" width="17.7109375" style="1" customWidth="1"/>
    <col min="2825" max="2825" width="15.140625" style="1" customWidth="1"/>
    <col min="2826" max="2826" width="17.140625" style="1" customWidth="1"/>
    <col min="2827" max="2827" width="18.140625" style="1" customWidth="1"/>
    <col min="2828" max="2828" width="12.140625" style="1" customWidth="1"/>
    <col min="2829" max="2829" width="14" style="1" customWidth="1"/>
    <col min="2830" max="2830" width="13" style="1" bestFit="1" customWidth="1"/>
    <col min="2831" max="2831" width="8.7109375" style="1" customWidth="1"/>
    <col min="2832" max="2832" width="4.7109375" style="1" customWidth="1"/>
    <col min="2833" max="2833" width="10.5703125" style="1" customWidth="1"/>
    <col min="2834" max="2834" width="13.7109375" style="1" customWidth="1"/>
    <col min="2835" max="2835" width="13.42578125" style="1" customWidth="1"/>
    <col min="2836" max="2836" width="12.140625" style="1" customWidth="1"/>
    <col min="2837" max="2838" width="12.42578125" style="1" customWidth="1"/>
    <col min="2839" max="2839" width="10.7109375" style="1" customWidth="1"/>
    <col min="2840" max="2840" width="11.7109375" style="1" customWidth="1"/>
    <col min="2841" max="2841" width="10.42578125" style="1" customWidth="1"/>
    <col min="2842" max="2842" width="10.7109375" style="1" customWidth="1"/>
    <col min="2843" max="2843" width="13.5703125" style="1" customWidth="1"/>
    <col min="2844" max="2846" width="9.140625" style="1"/>
    <col min="2847" max="2847" width="4.7109375" style="1" customWidth="1"/>
    <col min="2848" max="2848" width="9.140625" style="1"/>
    <col min="2849" max="2849" width="12.42578125" style="1" bestFit="1" customWidth="1"/>
    <col min="2850" max="2850" width="4.42578125" style="1" customWidth="1"/>
    <col min="2851" max="2851" width="31.85546875" style="1" customWidth="1"/>
    <col min="2852" max="2852" width="12.7109375" style="1" customWidth="1"/>
    <col min="2853" max="2853" width="12.28515625" style="1" customWidth="1"/>
    <col min="2854" max="2854" width="9.140625" style="1"/>
    <col min="2855" max="2856" width="12.42578125" style="1" bestFit="1" customWidth="1"/>
    <col min="2857" max="2857" width="7.85546875" style="1" customWidth="1"/>
    <col min="2858" max="2858" width="9.140625" style="1"/>
    <col min="2859" max="2859" width="26.7109375" style="1" customWidth="1"/>
    <col min="2860" max="2860" width="13.5703125" style="1" customWidth="1"/>
    <col min="2861" max="2861" width="25" style="1" customWidth="1"/>
    <col min="2862" max="2862" width="15.85546875" style="1" customWidth="1"/>
    <col min="2863" max="2863" width="14.42578125" style="1" customWidth="1"/>
    <col min="2864" max="3069" width="9.140625" style="1"/>
    <col min="3070" max="3070" width="10.28515625" style="1" customWidth="1"/>
    <col min="3071" max="3071" width="25.7109375" style="1" customWidth="1"/>
    <col min="3072" max="3073" width="18.28515625" style="1" customWidth="1"/>
    <col min="3074" max="3074" width="18" style="1" customWidth="1"/>
    <col min="3075" max="3075" width="18.28515625" style="1" customWidth="1"/>
    <col min="3076" max="3076" width="18.140625" style="1" customWidth="1"/>
    <col min="3077" max="3077" width="11.42578125" style="1" customWidth="1"/>
    <col min="3078" max="3078" width="13.42578125" style="1" customWidth="1"/>
    <col min="3079" max="3079" width="12.5703125" style="1" customWidth="1"/>
    <col min="3080" max="3080" width="17.7109375" style="1" customWidth="1"/>
    <col min="3081" max="3081" width="15.140625" style="1" customWidth="1"/>
    <col min="3082" max="3082" width="17.140625" style="1" customWidth="1"/>
    <col min="3083" max="3083" width="18.140625" style="1" customWidth="1"/>
    <col min="3084" max="3084" width="12.140625" style="1" customWidth="1"/>
    <col min="3085" max="3085" width="14" style="1" customWidth="1"/>
    <col min="3086" max="3086" width="13" style="1" bestFit="1" customWidth="1"/>
    <col min="3087" max="3087" width="8.7109375" style="1" customWidth="1"/>
    <col min="3088" max="3088" width="4.7109375" style="1" customWidth="1"/>
    <col min="3089" max="3089" width="10.5703125" style="1" customWidth="1"/>
    <col min="3090" max="3090" width="13.7109375" style="1" customWidth="1"/>
    <col min="3091" max="3091" width="13.42578125" style="1" customWidth="1"/>
    <col min="3092" max="3092" width="12.140625" style="1" customWidth="1"/>
    <col min="3093" max="3094" width="12.42578125" style="1" customWidth="1"/>
    <col min="3095" max="3095" width="10.7109375" style="1" customWidth="1"/>
    <col min="3096" max="3096" width="11.7109375" style="1" customWidth="1"/>
    <col min="3097" max="3097" width="10.42578125" style="1" customWidth="1"/>
    <col min="3098" max="3098" width="10.7109375" style="1" customWidth="1"/>
    <col min="3099" max="3099" width="13.5703125" style="1" customWidth="1"/>
    <col min="3100" max="3102" width="9.140625" style="1"/>
    <col min="3103" max="3103" width="4.7109375" style="1" customWidth="1"/>
    <col min="3104" max="3104" width="9.140625" style="1"/>
    <col min="3105" max="3105" width="12.42578125" style="1" bestFit="1" customWidth="1"/>
    <col min="3106" max="3106" width="4.42578125" style="1" customWidth="1"/>
    <col min="3107" max="3107" width="31.85546875" style="1" customWidth="1"/>
    <col min="3108" max="3108" width="12.7109375" style="1" customWidth="1"/>
    <col min="3109" max="3109" width="12.28515625" style="1" customWidth="1"/>
    <col min="3110" max="3110" width="9.140625" style="1"/>
    <col min="3111" max="3112" width="12.42578125" style="1" bestFit="1" customWidth="1"/>
    <col min="3113" max="3113" width="7.85546875" style="1" customWidth="1"/>
    <col min="3114" max="3114" width="9.140625" style="1"/>
    <col min="3115" max="3115" width="26.7109375" style="1" customWidth="1"/>
    <col min="3116" max="3116" width="13.5703125" style="1" customWidth="1"/>
    <col min="3117" max="3117" width="25" style="1" customWidth="1"/>
    <col min="3118" max="3118" width="15.85546875" style="1" customWidth="1"/>
    <col min="3119" max="3119" width="14.42578125" style="1" customWidth="1"/>
    <col min="3120" max="3325" width="9.140625" style="1"/>
    <col min="3326" max="3326" width="10.28515625" style="1" customWidth="1"/>
    <col min="3327" max="3327" width="25.7109375" style="1" customWidth="1"/>
    <col min="3328" max="3329" width="18.28515625" style="1" customWidth="1"/>
    <col min="3330" max="3330" width="18" style="1" customWidth="1"/>
    <col min="3331" max="3331" width="18.28515625" style="1" customWidth="1"/>
    <col min="3332" max="3332" width="18.140625" style="1" customWidth="1"/>
    <col min="3333" max="3333" width="11.42578125" style="1" customWidth="1"/>
    <col min="3334" max="3334" width="13.42578125" style="1" customWidth="1"/>
    <col min="3335" max="3335" width="12.5703125" style="1" customWidth="1"/>
    <col min="3336" max="3336" width="17.7109375" style="1" customWidth="1"/>
    <col min="3337" max="3337" width="15.140625" style="1" customWidth="1"/>
    <col min="3338" max="3338" width="17.140625" style="1" customWidth="1"/>
    <col min="3339" max="3339" width="18.140625" style="1" customWidth="1"/>
    <col min="3340" max="3340" width="12.140625" style="1" customWidth="1"/>
    <col min="3341" max="3341" width="14" style="1" customWidth="1"/>
    <col min="3342" max="3342" width="13" style="1" bestFit="1" customWidth="1"/>
    <col min="3343" max="3343" width="8.7109375" style="1" customWidth="1"/>
    <col min="3344" max="3344" width="4.7109375" style="1" customWidth="1"/>
    <col min="3345" max="3345" width="10.5703125" style="1" customWidth="1"/>
    <col min="3346" max="3346" width="13.7109375" style="1" customWidth="1"/>
    <col min="3347" max="3347" width="13.42578125" style="1" customWidth="1"/>
    <col min="3348" max="3348" width="12.140625" style="1" customWidth="1"/>
    <col min="3349" max="3350" width="12.42578125" style="1" customWidth="1"/>
    <col min="3351" max="3351" width="10.7109375" style="1" customWidth="1"/>
    <col min="3352" max="3352" width="11.7109375" style="1" customWidth="1"/>
    <col min="3353" max="3353" width="10.42578125" style="1" customWidth="1"/>
    <col min="3354" max="3354" width="10.7109375" style="1" customWidth="1"/>
    <col min="3355" max="3355" width="13.5703125" style="1" customWidth="1"/>
    <col min="3356" max="3358" width="9.140625" style="1"/>
    <col min="3359" max="3359" width="4.7109375" style="1" customWidth="1"/>
    <col min="3360" max="3360" width="9.140625" style="1"/>
    <col min="3361" max="3361" width="12.42578125" style="1" bestFit="1" customWidth="1"/>
    <col min="3362" max="3362" width="4.42578125" style="1" customWidth="1"/>
    <col min="3363" max="3363" width="31.85546875" style="1" customWidth="1"/>
    <col min="3364" max="3364" width="12.7109375" style="1" customWidth="1"/>
    <col min="3365" max="3365" width="12.28515625" style="1" customWidth="1"/>
    <col min="3366" max="3366" width="9.140625" style="1"/>
    <col min="3367" max="3368" width="12.42578125" style="1" bestFit="1" customWidth="1"/>
    <col min="3369" max="3369" width="7.85546875" style="1" customWidth="1"/>
    <col min="3370" max="3370" width="9.140625" style="1"/>
    <col min="3371" max="3371" width="26.7109375" style="1" customWidth="1"/>
    <col min="3372" max="3372" width="13.5703125" style="1" customWidth="1"/>
    <col min="3373" max="3373" width="25" style="1" customWidth="1"/>
    <col min="3374" max="3374" width="15.85546875" style="1" customWidth="1"/>
    <col min="3375" max="3375" width="14.42578125" style="1" customWidth="1"/>
    <col min="3376" max="3581" width="9.140625" style="1"/>
    <col min="3582" max="3582" width="10.28515625" style="1" customWidth="1"/>
    <col min="3583" max="3583" width="25.7109375" style="1" customWidth="1"/>
    <col min="3584" max="3585" width="18.28515625" style="1" customWidth="1"/>
    <col min="3586" max="3586" width="18" style="1" customWidth="1"/>
    <col min="3587" max="3587" width="18.28515625" style="1" customWidth="1"/>
    <col min="3588" max="3588" width="18.140625" style="1" customWidth="1"/>
    <col min="3589" max="3589" width="11.42578125" style="1" customWidth="1"/>
    <col min="3590" max="3590" width="13.42578125" style="1" customWidth="1"/>
    <col min="3591" max="3591" width="12.5703125" style="1" customWidth="1"/>
    <col min="3592" max="3592" width="17.7109375" style="1" customWidth="1"/>
    <col min="3593" max="3593" width="15.140625" style="1" customWidth="1"/>
    <col min="3594" max="3594" width="17.140625" style="1" customWidth="1"/>
    <col min="3595" max="3595" width="18.140625" style="1" customWidth="1"/>
    <col min="3596" max="3596" width="12.140625" style="1" customWidth="1"/>
    <col min="3597" max="3597" width="14" style="1" customWidth="1"/>
    <col min="3598" max="3598" width="13" style="1" bestFit="1" customWidth="1"/>
    <col min="3599" max="3599" width="8.7109375" style="1" customWidth="1"/>
    <col min="3600" max="3600" width="4.7109375" style="1" customWidth="1"/>
    <col min="3601" max="3601" width="10.5703125" style="1" customWidth="1"/>
    <col min="3602" max="3602" width="13.7109375" style="1" customWidth="1"/>
    <col min="3603" max="3603" width="13.42578125" style="1" customWidth="1"/>
    <col min="3604" max="3604" width="12.140625" style="1" customWidth="1"/>
    <col min="3605" max="3606" width="12.42578125" style="1" customWidth="1"/>
    <col min="3607" max="3607" width="10.7109375" style="1" customWidth="1"/>
    <col min="3608" max="3608" width="11.7109375" style="1" customWidth="1"/>
    <col min="3609" max="3609" width="10.42578125" style="1" customWidth="1"/>
    <col min="3610" max="3610" width="10.7109375" style="1" customWidth="1"/>
    <col min="3611" max="3611" width="13.5703125" style="1" customWidth="1"/>
    <col min="3612" max="3614" width="9.140625" style="1"/>
    <col min="3615" max="3615" width="4.7109375" style="1" customWidth="1"/>
    <col min="3616" max="3616" width="9.140625" style="1"/>
    <col min="3617" max="3617" width="12.42578125" style="1" bestFit="1" customWidth="1"/>
    <col min="3618" max="3618" width="4.42578125" style="1" customWidth="1"/>
    <col min="3619" max="3619" width="31.85546875" style="1" customWidth="1"/>
    <col min="3620" max="3620" width="12.7109375" style="1" customWidth="1"/>
    <col min="3621" max="3621" width="12.28515625" style="1" customWidth="1"/>
    <col min="3622" max="3622" width="9.140625" style="1"/>
    <col min="3623" max="3624" width="12.42578125" style="1" bestFit="1" customWidth="1"/>
    <col min="3625" max="3625" width="7.85546875" style="1" customWidth="1"/>
    <col min="3626" max="3626" width="9.140625" style="1"/>
    <col min="3627" max="3627" width="26.7109375" style="1" customWidth="1"/>
    <col min="3628" max="3628" width="13.5703125" style="1" customWidth="1"/>
    <col min="3629" max="3629" width="25" style="1" customWidth="1"/>
    <col min="3630" max="3630" width="15.85546875" style="1" customWidth="1"/>
    <col min="3631" max="3631" width="14.42578125" style="1" customWidth="1"/>
    <col min="3632" max="3837" width="9.140625" style="1"/>
    <col min="3838" max="3838" width="10.28515625" style="1" customWidth="1"/>
    <col min="3839" max="3839" width="25.7109375" style="1" customWidth="1"/>
    <col min="3840" max="3841" width="18.28515625" style="1" customWidth="1"/>
    <col min="3842" max="3842" width="18" style="1" customWidth="1"/>
    <col min="3843" max="3843" width="18.28515625" style="1" customWidth="1"/>
    <col min="3844" max="3844" width="18.140625" style="1" customWidth="1"/>
    <col min="3845" max="3845" width="11.42578125" style="1" customWidth="1"/>
    <col min="3846" max="3846" width="13.42578125" style="1" customWidth="1"/>
    <col min="3847" max="3847" width="12.5703125" style="1" customWidth="1"/>
    <col min="3848" max="3848" width="17.7109375" style="1" customWidth="1"/>
    <col min="3849" max="3849" width="15.140625" style="1" customWidth="1"/>
    <col min="3850" max="3850" width="17.140625" style="1" customWidth="1"/>
    <col min="3851" max="3851" width="18.140625" style="1" customWidth="1"/>
    <col min="3852" max="3852" width="12.140625" style="1" customWidth="1"/>
    <col min="3853" max="3853" width="14" style="1" customWidth="1"/>
    <col min="3854" max="3854" width="13" style="1" bestFit="1" customWidth="1"/>
    <col min="3855" max="3855" width="8.7109375" style="1" customWidth="1"/>
    <col min="3856" max="3856" width="4.7109375" style="1" customWidth="1"/>
    <col min="3857" max="3857" width="10.5703125" style="1" customWidth="1"/>
    <col min="3858" max="3858" width="13.7109375" style="1" customWidth="1"/>
    <col min="3859" max="3859" width="13.42578125" style="1" customWidth="1"/>
    <col min="3860" max="3860" width="12.140625" style="1" customWidth="1"/>
    <col min="3861" max="3862" width="12.42578125" style="1" customWidth="1"/>
    <col min="3863" max="3863" width="10.7109375" style="1" customWidth="1"/>
    <col min="3864" max="3864" width="11.7109375" style="1" customWidth="1"/>
    <col min="3865" max="3865" width="10.42578125" style="1" customWidth="1"/>
    <col min="3866" max="3866" width="10.7109375" style="1" customWidth="1"/>
    <col min="3867" max="3867" width="13.5703125" style="1" customWidth="1"/>
    <col min="3868" max="3870" width="9.140625" style="1"/>
    <col min="3871" max="3871" width="4.7109375" style="1" customWidth="1"/>
    <col min="3872" max="3872" width="9.140625" style="1"/>
    <col min="3873" max="3873" width="12.42578125" style="1" bestFit="1" customWidth="1"/>
    <col min="3874" max="3874" width="4.42578125" style="1" customWidth="1"/>
    <col min="3875" max="3875" width="31.85546875" style="1" customWidth="1"/>
    <col min="3876" max="3876" width="12.7109375" style="1" customWidth="1"/>
    <col min="3877" max="3877" width="12.28515625" style="1" customWidth="1"/>
    <col min="3878" max="3878" width="9.140625" style="1"/>
    <col min="3879" max="3880" width="12.42578125" style="1" bestFit="1" customWidth="1"/>
    <col min="3881" max="3881" width="7.85546875" style="1" customWidth="1"/>
    <col min="3882" max="3882" width="9.140625" style="1"/>
    <col min="3883" max="3883" width="26.7109375" style="1" customWidth="1"/>
    <col min="3884" max="3884" width="13.5703125" style="1" customWidth="1"/>
    <col min="3885" max="3885" width="25" style="1" customWidth="1"/>
    <col min="3886" max="3886" width="15.85546875" style="1" customWidth="1"/>
    <col min="3887" max="3887" width="14.42578125" style="1" customWidth="1"/>
    <col min="3888" max="4093" width="9.140625" style="1"/>
    <col min="4094" max="4094" width="10.28515625" style="1" customWidth="1"/>
    <col min="4095" max="4095" width="25.7109375" style="1" customWidth="1"/>
    <col min="4096" max="4097" width="18.28515625" style="1" customWidth="1"/>
    <col min="4098" max="4098" width="18" style="1" customWidth="1"/>
    <col min="4099" max="4099" width="18.28515625" style="1" customWidth="1"/>
    <col min="4100" max="4100" width="18.140625" style="1" customWidth="1"/>
    <col min="4101" max="4101" width="11.42578125" style="1" customWidth="1"/>
    <col min="4102" max="4102" width="13.42578125" style="1" customWidth="1"/>
    <col min="4103" max="4103" width="12.5703125" style="1" customWidth="1"/>
    <col min="4104" max="4104" width="17.7109375" style="1" customWidth="1"/>
    <col min="4105" max="4105" width="15.140625" style="1" customWidth="1"/>
    <col min="4106" max="4106" width="17.140625" style="1" customWidth="1"/>
    <col min="4107" max="4107" width="18.140625" style="1" customWidth="1"/>
    <col min="4108" max="4108" width="12.140625" style="1" customWidth="1"/>
    <col min="4109" max="4109" width="14" style="1" customWidth="1"/>
    <col min="4110" max="4110" width="13" style="1" bestFit="1" customWidth="1"/>
    <col min="4111" max="4111" width="8.7109375" style="1" customWidth="1"/>
    <col min="4112" max="4112" width="4.7109375" style="1" customWidth="1"/>
    <col min="4113" max="4113" width="10.5703125" style="1" customWidth="1"/>
    <col min="4114" max="4114" width="13.7109375" style="1" customWidth="1"/>
    <col min="4115" max="4115" width="13.42578125" style="1" customWidth="1"/>
    <col min="4116" max="4116" width="12.140625" style="1" customWidth="1"/>
    <col min="4117" max="4118" width="12.42578125" style="1" customWidth="1"/>
    <col min="4119" max="4119" width="10.7109375" style="1" customWidth="1"/>
    <col min="4120" max="4120" width="11.7109375" style="1" customWidth="1"/>
    <col min="4121" max="4121" width="10.42578125" style="1" customWidth="1"/>
    <col min="4122" max="4122" width="10.7109375" style="1" customWidth="1"/>
    <col min="4123" max="4123" width="13.5703125" style="1" customWidth="1"/>
    <col min="4124" max="4126" width="9.140625" style="1"/>
    <col min="4127" max="4127" width="4.7109375" style="1" customWidth="1"/>
    <col min="4128" max="4128" width="9.140625" style="1"/>
    <col min="4129" max="4129" width="12.42578125" style="1" bestFit="1" customWidth="1"/>
    <col min="4130" max="4130" width="4.42578125" style="1" customWidth="1"/>
    <col min="4131" max="4131" width="31.85546875" style="1" customWidth="1"/>
    <col min="4132" max="4132" width="12.7109375" style="1" customWidth="1"/>
    <col min="4133" max="4133" width="12.28515625" style="1" customWidth="1"/>
    <col min="4134" max="4134" width="9.140625" style="1"/>
    <col min="4135" max="4136" width="12.42578125" style="1" bestFit="1" customWidth="1"/>
    <col min="4137" max="4137" width="7.85546875" style="1" customWidth="1"/>
    <col min="4138" max="4138" width="9.140625" style="1"/>
    <col min="4139" max="4139" width="26.7109375" style="1" customWidth="1"/>
    <col min="4140" max="4140" width="13.5703125" style="1" customWidth="1"/>
    <col min="4141" max="4141" width="25" style="1" customWidth="1"/>
    <col min="4142" max="4142" width="15.85546875" style="1" customWidth="1"/>
    <col min="4143" max="4143" width="14.42578125" style="1" customWidth="1"/>
    <col min="4144" max="4349" width="9.140625" style="1"/>
    <col min="4350" max="4350" width="10.28515625" style="1" customWidth="1"/>
    <col min="4351" max="4351" width="25.7109375" style="1" customWidth="1"/>
    <col min="4352" max="4353" width="18.28515625" style="1" customWidth="1"/>
    <col min="4354" max="4354" width="18" style="1" customWidth="1"/>
    <col min="4355" max="4355" width="18.28515625" style="1" customWidth="1"/>
    <col min="4356" max="4356" width="18.140625" style="1" customWidth="1"/>
    <col min="4357" max="4357" width="11.42578125" style="1" customWidth="1"/>
    <col min="4358" max="4358" width="13.42578125" style="1" customWidth="1"/>
    <col min="4359" max="4359" width="12.5703125" style="1" customWidth="1"/>
    <col min="4360" max="4360" width="17.7109375" style="1" customWidth="1"/>
    <col min="4361" max="4361" width="15.140625" style="1" customWidth="1"/>
    <col min="4362" max="4362" width="17.140625" style="1" customWidth="1"/>
    <col min="4363" max="4363" width="18.140625" style="1" customWidth="1"/>
    <col min="4364" max="4364" width="12.140625" style="1" customWidth="1"/>
    <col min="4365" max="4365" width="14" style="1" customWidth="1"/>
    <col min="4366" max="4366" width="13" style="1" bestFit="1" customWidth="1"/>
    <col min="4367" max="4367" width="8.7109375" style="1" customWidth="1"/>
    <col min="4368" max="4368" width="4.7109375" style="1" customWidth="1"/>
    <col min="4369" max="4369" width="10.5703125" style="1" customWidth="1"/>
    <col min="4370" max="4370" width="13.7109375" style="1" customWidth="1"/>
    <col min="4371" max="4371" width="13.42578125" style="1" customWidth="1"/>
    <col min="4372" max="4372" width="12.140625" style="1" customWidth="1"/>
    <col min="4373" max="4374" width="12.42578125" style="1" customWidth="1"/>
    <col min="4375" max="4375" width="10.7109375" style="1" customWidth="1"/>
    <col min="4376" max="4376" width="11.7109375" style="1" customWidth="1"/>
    <col min="4377" max="4377" width="10.42578125" style="1" customWidth="1"/>
    <col min="4378" max="4378" width="10.7109375" style="1" customWidth="1"/>
    <col min="4379" max="4379" width="13.5703125" style="1" customWidth="1"/>
    <col min="4380" max="4382" width="9.140625" style="1"/>
    <col min="4383" max="4383" width="4.7109375" style="1" customWidth="1"/>
    <col min="4384" max="4384" width="9.140625" style="1"/>
    <col min="4385" max="4385" width="12.42578125" style="1" bestFit="1" customWidth="1"/>
    <col min="4386" max="4386" width="4.42578125" style="1" customWidth="1"/>
    <col min="4387" max="4387" width="31.85546875" style="1" customWidth="1"/>
    <col min="4388" max="4388" width="12.7109375" style="1" customWidth="1"/>
    <col min="4389" max="4389" width="12.28515625" style="1" customWidth="1"/>
    <col min="4390" max="4390" width="9.140625" style="1"/>
    <col min="4391" max="4392" width="12.42578125" style="1" bestFit="1" customWidth="1"/>
    <col min="4393" max="4393" width="7.85546875" style="1" customWidth="1"/>
    <col min="4394" max="4394" width="9.140625" style="1"/>
    <col min="4395" max="4395" width="26.7109375" style="1" customWidth="1"/>
    <col min="4396" max="4396" width="13.5703125" style="1" customWidth="1"/>
    <col min="4397" max="4397" width="25" style="1" customWidth="1"/>
    <col min="4398" max="4398" width="15.85546875" style="1" customWidth="1"/>
    <col min="4399" max="4399" width="14.42578125" style="1" customWidth="1"/>
    <col min="4400" max="4605" width="9.140625" style="1"/>
    <col min="4606" max="4606" width="10.28515625" style="1" customWidth="1"/>
    <col min="4607" max="4607" width="25.7109375" style="1" customWidth="1"/>
    <col min="4608" max="4609" width="18.28515625" style="1" customWidth="1"/>
    <col min="4610" max="4610" width="18" style="1" customWidth="1"/>
    <col min="4611" max="4611" width="18.28515625" style="1" customWidth="1"/>
    <col min="4612" max="4612" width="18.140625" style="1" customWidth="1"/>
    <col min="4613" max="4613" width="11.42578125" style="1" customWidth="1"/>
    <col min="4614" max="4614" width="13.42578125" style="1" customWidth="1"/>
    <col min="4615" max="4615" width="12.5703125" style="1" customWidth="1"/>
    <col min="4616" max="4616" width="17.7109375" style="1" customWidth="1"/>
    <col min="4617" max="4617" width="15.140625" style="1" customWidth="1"/>
    <col min="4618" max="4618" width="17.140625" style="1" customWidth="1"/>
    <col min="4619" max="4619" width="18.140625" style="1" customWidth="1"/>
    <col min="4620" max="4620" width="12.140625" style="1" customWidth="1"/>
    <col min="4621" max="4621" width="14" style="1" customWidth="1"/>
    <col min="4622" max="4622" width="13" style="1" bestFit="1" customWidth="1"/>
    <col min="4623" max="4623" width="8.7109375" style="1" customWidth="1"/>
    <col min="4624" max="4624" width="4.7109375" style="1" customWidth="1"/>
    <col min="4625" max="4625" width="10.5703125" style="1" customWidth="1"/>
    <col min="4626" max="4626" width="13.7109375" style="1" customWidth="1"/>
    <col min="4627" max="4627" width="13.42578125" style="1" customWidth="1"/>
    <col min="4628" max="4628" width="12.140625" style="1" customWidth="1"/>
    <col min="4629" max="4630" width="12.42578125" style="1" customWidth="1"/>
    <col min="4631" max="4631" width="10.7109375" style="1" customWidth="1"/>
    <col min="4632" max="4632" width="11.7109375" style="1" customWidth="1"/>
    <col min="4633" max="4633" width="10.42578125" style="1" customWidth="1"/>
    <col min="4634" max="4634" width="10.7109375" style="1" customWidth="1"/>
    <col min="4635" max="4635" width="13.5703125" style="1" customWidth="1"/>
    <col min="4636" max="4638" width="9.140625" style="1"/>
    <col min="4639" max="4639" width="4.7109375" style="1" customWidth="1"/>
    <col min="4640" max="4640" width="9.140625" style="1"/>
    <col min="4641" max="4641" width="12.42578125" style="1" bestFit="1" customWidth="1"/>
    <col min="4642" max="4642" width="4.42578125" style="1" customWidth="1"/>
    <col min="4643" max="4643" width="31.85546875" style="1" customWidth="1"/>
    <col min="4644" max="4644" width="12.7109375" style="1" customWidth="1"/>
    <col min="4645" max="4645" width="12.28515625" style="1" customWidth="1"/>
    <col min="4646" max="4646" width="9.140625" style="1"/>
    <col min="4647" max="4648" width="12.42578125" style="1" bestFit="1" customWidth="1"/>
    <col min="4649" max="4649" width="7.85546875" style="1" customWidth="1"/>
    <col min="4650" max="4650" width="9.140625" style="1"/>
    <col min="4651" max="4651" width="26.7109375" style="1" customWidth="1"/>
    <col min="4652" max="4652" width="13.5703125" style="1" customWidth="1"/>
    <col min="4653" max="4653" width="25" style="1" customWidth="1"/>
    <col min="4654" max="4654" width="15.85546875" style="1" customWidth="1"/>
    <col min="4655" max="4655" width="14.42578125" style="1" customWidth="1"/>
    <col min="4656" max="4861" width="9.140625" style="1"/>
    <col min="4862" max="4862" width="10.28515625" style="1" customWidth="1"/>
    <col min="4863" max="4863" width="25.7109375" style="1" customWidth="1"/>
    <col min="4864" max="4865" width="18.28515625" style="1" customWidth="1"/>
    <col min="4866" max="4866" width="18" style="1" customWidth="1"/>
    <col min="4867" max="4867" width="18.28515625" style="1" customWidth="1"/>
    <col min="4868" max="4868" width="18.140625" style="1" customWidth="1"/>
    <col min="4869" max="4869" width="11.42578125" style="1" customWidth="1"/>
    <col min="4870" max="4870" width="13.42578125" style="1" customWidth="1"/>
    <col min="4871" max="4871" width="12.5703125" style="1" customWidth="1"/>
    <col min="4872" max="4872" width="17.7109375" style="1" customWidth="1"/>
    <col min="4873" max="4873" width="15.140625" style="1" customWidth="1"/>
    <col min="4874" max="4874" width="17.140625" style="1" customWidth="1"/>
    <col min="4875" max="4875" width="18.140625" style="1" customWidth="1"/>
    <col min="4876" max="4876" width="12.140625" style="1" customWidth="1"/>
    <col min="4877" max="4877" width="14" style="1" customWidth="1"/>
    <col min="4878" max="4878" width="13" style="1" bestFit="1" customWidth="1"/>
    <col min="4879" max="4879" width="8.7109375" style="1" customWidth="1"/>
    <col min="4880" max="4880" width="4.7109375" style="1" customWidth="1"/>
    <col min="4881" max="4881" width="10.5703125" style="1" customWidth="1"/>
    <col min="4882" max="4882" width="13.7109375" style="1" customWidth="1"/>
    <col min="4883" max="4883" width="13.42578125" style="1" customWidth="1"/>
    <col min="4884" max="4884" width="12.140625" style="1" customWidth="1"/>
    <col min="4885" max="4886" width="12.42578125" style="1" customWidth="1"/>
    <col min="4887" max="4887" width="10.7109375" style="1" customWidth="1"/>
    <col min="4888" max="4888" width="11.7109375" style="1" customWidth="1"/>
    <col min="4889" max="4889" width="10.42578125" style="1" customWidth="1"/>
    <col min="4890" max="4890" width="10.7109375" style="1" customWidth="1"/>
    <col min="4891" max="4891" width="13.5703125" style="1" customWidth="1"/>
    <col min="4892" max="4894" width="9.140625" style="1"/>
    <col min="4895" max="4895" width="4.7109375" style="1" customWidth="1"/>
    <col min="4896" max="4896" width="9.140625" style="1"/>
    <col min="4897" max="4897" width="12.42578125" style="1" bestFit="1" customWidth="1"/>
    <col min="4898" max="4898" width="4.42578125" style="1" customWidth="1"/>
    <col min="4899" max="4899" width="31.85546875" style="1" customWidth="1"/>
    <col min="4900" max="4900" width="12.7109375" style="1" customWidth="1"/>
    <col min="4901" max="4901" width="12.28515625" style="1" customWidth="1"/>
    <col min="4902" max="4902" width="9.140625" style="1"/>
    <col min="4903" max="4904" width="12.42578125" style="1" bestFit="1" customWidth="1"/>
    <col min="4905" max="4905" width="7.85546875" style="1" customWidth="1"/>
    <col min="4906" max="4906" width="9.140625" style="1"/>
    <col min="4907" max="4907" width="26.7109375" style="1" customWidth="1"/>
    <col min="4908" max="4908" width="13.5703125" style="1" customWidth="1"/>
    <col min="4909" max="4909" width="25" style="1" customWidth="1"/>
    <col min="4910" max="4910" width="15.85546875" style="1" customWidth="1"/>
    <col min="4911" max="4911" width="14.42578125" style="1" customWidth="1"/>
    <col min="4912" max="5117" width="9.140625" style="1"/>
    <col min="5118" max="5118" width="10.28515625" style="1" customWidth="1"/>
    <col min="5119" max="5119" width="25.7109375" style="1" customWidth="1"/>
    <col min="5120" max="5121" width="18.28515625" style="1" customWidth="1"/>
    <col min="5122" max="5122" width="18" style="1" customWidth="1"/>
    <col min="5123" max="5123" width="18.28515625" style="1" customWidth="1"/>
    <col min="5124" max="5124" width="18.140625" style="1" customWidth="1"/>
    <col min="5125" max="5125" width="11.42578125" style="1" customWidth="1"/>
    <col min="5126" max="5126" width="13.42578125" style="1" customWidth="1"/>
    <col min="5127" max="5127" width="12.5703125" style="1" customWidth="1"/>
    <col min="5128" max="5128" width="17.7109375" style="1" customWidth="1"/>
    <col min="5129" max="5129" width="15.140625" style="1" customWidth="1"/>
    <col min="5130" max="5130" width="17.140625" style="1" customWidth="1"/>
    <col min="5131" max="5131" width="18.140625" style="1" customWidth="1"/>
    <col min="5132" max="5132" width="12.140625" style="1" customWidth="1"/>
    <col min="5133" max="5133" width="14" style="1" customWidth="1"/>
    <col min="5134" max="5134" width="13" style="1" bestFit="1" customWidth="1"/>
    <col min="5135" max="5135" width="8.7109375" style="1" customWidth="1"/>
    <col min="5136" max="5136" width="4.7109375" style="1" customWidth="1"/>
    <col min="5137" max="5137" width="10.5703125" style="1" customWidth="1"/>
    <col min="5138" max="5138" width="13.7109375" style="1" customWidth="1"/>
    <col min="5139" max="5139" width="13.42578125" style="1" customWidth="1"/>
    <col min="5140" max="5140" width="12.140625" style="1" customWidth="1"/>
    <col min="5141" max="5142" width="12.42578125" style="1" customWidth="1"/>
    <col min="5143" max="5143" width="10.7109375" style="1" customWidth="1"/>
    <col min="5144" max="5144" width="11.7109375" style="1" customWidth="1"/>
    <col min="5145" max="5145" width="10.42578125" style="1" customWidth="1"/>
    <col min="5146" max="5146" width="10.7109375" style="1" customWidth="1"/>
    <col min="5147" max="5147" width="13.5703125" style="1" customWidth="1"/>
    <col min="5148" max="5150" width="9.140625" style="1"/>
    <col min="5151" max="5151" width="4.7109375" style="1" customWidth="1"/>
    <col min="5152" max="5152" width="9.140625" style="1"/>
    <col min="5153" max="5153" width="12.42578125" style="1" bestFit="1" customWidth="1"/>
    <col min="5154" max="5154" width="4.42578125" style="1" customWidth="1"/>
    <col min="5155" max="5155" width="31.85546875" style="1" customWidth="1"/>
    <col min="5156" max="5156" width="12.7109375" style="1" customWidth="1"/>
    <col min="5157" max="5157" width="12.28515625" style="1" customWidth="1"/>
    <col min="5158" max="5158" width="9.140625" style="1"/>
    <col min="5159" max="5160" width="12.42578125" style="1" bestFit="1" customWidth="1"/>
    <col min="5161" max="5161" width="7.85546875" style="1" customWidth="1"/>
    <col min="5162" max="5162" width="9.140625" style="1"/>
    <col min="5163" max="5163" width="26.7109375" style="1" customWidth="1"/>
    <col min="5164" max="5164" width="13.5703125" style="1" customWidth="1"/>
    <col min="5165" max="5165" width="25" style="1" customWidth="1"/>
    <col min="5166" max="5166" width="15.85546875" style="1" customWidth="1"/>
    <col min="5167" max="5167" width="14.42578125" style="1" customWidth="1"/>
    <col min="5168" max="5373" width="9.140625" style="1"/>
    <col min="5374" max="5374" width="10.28515625" style="1" customWidth="1"/>
    <col min="5375" max="5375" width="25.7109375" style="1" customWidth="1"/>
    <col min="5376" max="5377" width="18.28515625" style="1" customWidth="1"/>
    <col min="5378" max="5378" width="18" style="1" customWidth="1"/>
    <col min="5379" max="5379" width="18.28515625" style="1" customWidth="1"/>
    <col min="5380" max="5380" width="18.140625" style="1" customWidth="1"/>
    <col min="5381" max="5381" width="11.42578125" style="1" customWidth="1"/>
    <col min="5382" max="5382" width="13.42578125" style="1" customWidth="1"/>
    <col min="5383" max="5383" width="12.5703125" style="1" customWidth="1"/>
    <col min="5384" max="5384" width="17.7109375" style="1" customWidth="1"/>
    <col min="5385" max="5385" width="15.140625" style="1" customWidth="1"/>
    <col min="5386" max="5386" width="17.140625" style="1" customWidth="1"/>
    <col min="5387" max="5387" width="18.140625" style="1" customWidth="1"/>
    <col min="5388" max="5388" width="12.140625" style="1" customWidth="1"/>
    <col min="5389" max="5389" width="14" style="1" customWidth="1"/>
    <col min="5390" max="5390" width="13" style="1" bestFit="1" customWidth="1"/>
    <col min="5391" max="5391" width="8.7109375" style="1" customWidth="1"/>
    <col min="5392" max="5392" width="4.7109375" style="1" customWidth="1"/>
    <col min="5393" max="5393" width="10.5703125" style="1" customWidth="1"/>
    <col min="5394" max="5394" width="13.7109375" style="1" customWidth="1"/>
    <col min="5395" max="5395" width="13.42578125" style="1" customWidth="1"/>
    <col min="5396" max="5396" width="12.140625" style="1" customWidth="1"/>
    <col min="5397" max="5398" width="12.42578125" style="1" customWidth="1"/>
    <col min="5399" max="5399" width="10.7109375" style="1" customWidth="1"/>
    <col min="5400" max="5400" width="11.7109375" style="1" customWidth="1"/>
    <col min="5401" max="5401" width="10.42578125" style="1" customWidth="1"/>
    <col min="5402" max="5402" width="10.7109375" style="1" customWidth="1"/>
    <col min="5403" max="5403" width="13.5703125" style="1" customWidth="1"/>
    <col min="5404" max="5406" width="9.140625" style="1"/>
    <col min="5407" max="5407" width="4.7109375" style="1" customWidth="1"/>
    <col min="5408" max="5408" width="9.140625" style="1"/>
    <col min="5409" max="5409" width="12.42578125" style="1" bestFit="1" customWidth="1"/>
    <col min="5410" max="5410" width="4.42578125" style="1" customWidth="1"/>
    <col min="5411" max="5411" width="31.85546875" style="1" customWidth="1"/>
    <col min="5412" max="5412" width="12.7109375" style="1" customWidth="1"/>
    <col min="5413" max="5413" width="12.28515625" style="1" customWidth="1"/>
    <col min="5414" max="5414" width="9.140625" style="1"/>
    <col min="5415" max="5416" width="12.42578125" style="1" bestFit="1" customWidth="1"/>
    <col min="5417" max="5417" width="7.85546875" style="1" customWidth="1"/>
    <col min="5418" max="5418" width="9.140625" style="1"/>
    <col min="5419" max="5419" width="26.7109375" style="1" customWidth="1"/>
    <col min="5420" max="5420" width="13.5703125" style="1" customWidth="1"/>
    <col min="5421" max="5421" width="25" style="1" customWidth="1"/>
    <col min="5422" max="5422" width="15.85546875" style="1" customWidth="1"/>
    <col min="5423" max="5423" width="14.42578125" style="1" customWidth="1"/>
    <col min="5424" max="5629" width="9.140625" style="1"/>
    <col min="5630" max="5630" width="10.28515625" style="1" customWidth="1"/>
    <col min="5631" max="5631" width="25.7109375" style="1" customWidth="1"/>
    <col min="5632" max="5633" width="18.28515625" style="1" customWidth="1"/>
    <col min="5634" max="5634" width="18" style="1" customWidth="1"/>
    <col min="5635" max="5635" width="18.28515625" style="1" customWidth="1"/>
    <col min="5636" max="5636" width="18.140625" style="1" customWidth="1"/>
    <col min="5637" max="5637" width="11.42578125" style="1" customWidth="1"/>
    <col min="5638" max="5638" width="13.42578125" style="1" customWidth="1"/>
    <col min="5639" max="5639" width="12.5703125" style="1" customWidth="1"/>
    <col min="5640" max="5640" width="17.7109375" style="1" customWidth="1"/>
    <col min="5641" max="5641" width="15.140625" style="1" customWidth="1"/>
    <col min="5642" max="5642" width="17.140625" style="1" customWidth="1"/>
    <col min="5643" max="5643" width="18.140625" style="1" customWidth="1"/>
    <col min="5644" max="5644" width="12.140625" style="1" customWidth="1"/>
    <col min="5645" max="5645" width="14" style="1" customWidth="1"/>
    <col min="5646" max="5646" width="13" style="1" bestFit="1" customWidth="1"/>
    <col min="5647" max="5647" width="8.7109375" style="1" customWidth="1"/>
    <col min="5648" max="5648" width="4.7109375" style="1" customWidth="1"/>
    <col min="5649" max="5649" width="10.5703125" style="1" customWidth="1"/>
    <col min="5650" max="5650" width="13.7109375" style="1" customWidth="1"/>
    <col min="5651" max="5651" width="13.42578125" style="1" customWidth="1"/>
    <col min="5652" max="5652" width="12.140625" style="1" customWidth="1"/>
    <col min="5653" max="5654" width="12.42578125" style="1" customWidth="1"/>
    <col min="5655" max="5655" width="10.7109375" style="1" customWidth="1"/>
    <col min="5656" max="5656" width="11.7109375" style="1" customWidth="1"/>
    <col min="5657" max="5657" width="10.42578125" style="1" customWidth="1"/>
    <col min="5658" max="5658" width="10.7109375" style="1" customWidth="1"/>
    <col min="5659" max="5659" width="13.5703125" style="1" customWidth="1"/>
    <col min="5660" max="5662" width="9.140625" style="1"/>
    <col min="5663" max="5663" width="4.7109375" style="1" customWidth="1"/>
    <col min="5664" max="5664" width="9.140625" style="1"/>
    <col min="5665" max="5665" width="12.42578125" style="1" bestFit="1" customWidth="1"/>
    <col min="5666" max="5666" width="4.42578125" style="1" customWidth="1"/>
    <col min="5667" max="5667" width="31.85546875" style="1" customWidth="1"/>
    <col min="5668" max="5668" width="12.7109375" style="1" customWidth="1"/>
    <col min="5669" max="5669" width="12.28515625" style="1" customWidth="1"/>
    <col min="5670" max="5670" width="9.140625" style="1"/>
    <col min="5671" max="5672" width="12.42578125" style="1" bestFit="1" customWidth="1"/>
    <col min="5673" max="5673" width="7.85546875" style="1" customWidth="1"/>
    <col min="5674" max="5674" width="9.140625" style="1"/>
    <col min="5675" max="5675" width="26.7109375" style="1" customWidth="1"/>
    <col min="5676" max="5676" width="13.5703125" style="1" customWidth="1"/>
    <col min="5677" max="5677" width="25" style="1" customWidth="1"/>
    <col min="5678" max="5678" width="15.85546875" style="1" customWidth="1"/>
    <col min="5679" max="5679" width="14.42578125" style="1" customWidth="1"/>
    <col min="5680" max="5885" width="9.140625" style="1"/>
    <col min="5886" max="5886" width="10.28515625" style="1" customWidth="1"/>
    <col min="5887" max="5887" width="25.7109375" style="1" customWidth="1"/>
    <col min="5888" max="5889" width="18.28515625" style="1" customWidth="1"/>
    <col min="5890" max="5890" width="18" style="1" customWidth="1"/>
    <col min="5891" max="5891" width="18.28515625" style="1" customWidth="1"/>
    <col min="5892" max="5892" width="18.140625" style="1" customWidth="1"/>
    <col min="5893" max="5893" width="11.42578125" style="1" customWidth="1"/>
    <col min="5894" max="5894" width="13.42578125" style="1" customWidth="1"/>
    <col min="5895" max="5895" width="12.5703125" style="1" customWidth="1"/>
    <col min="5896" max="5896" width="17.7109375" style="1" customWidth="1"/>
    <col min="5897" max="5897" width="15.140625" style="1" customWidth="1"/>
    <col min="5898" max="5898" width="17.140625" style="1" customWidth="1"/>
    <col min="5899" max="5899" width="18.140625" style="1" customWidth="1"/>
    <col min="5900" max="5900" width="12.140625" style="1" customWidth="1"/>
    <col min="5901" max="5901" width="14" style="1" customWidth="1"/>
    <col min="5902" max="5902" width="13" style="1" bestFit="1" customWidth="1"/>
    <col min="5903" max="5903" width="8.7109375" style="1" customWidth="1"/>
    <col min="5904" max="5904" width="4.7109375" style="1" customWidth="1"/>
    <col min="5905" max="5905" width="10.5703125" style="1" customWidth="1"/>
    <col min="5906" max="5906" width="13.7109375" style="1" customWidth="1"/>
    <col min="5907" max="5907" width="13.42578125" style="1" customWidth="1"/>
    <col min="5908" max="5908" width="12.140625" style="1" customWidth="1"/>
    <col min="5909" max="5910" width="12.42578125" style="1" customWidth="1"/>
    <col min="5911" max="5911" width="10.7109375" style="1" customWidth="1"/>
    <col min="5912" max="5912" width="11.7109375" style="1" customWidth="1"/>
    <col min="5913" max="5913" width="10.42578125" style="1" customWidth="1"/>
    <col min="5914" max="5914" width="10.7109375" style="1" customWidth="1"/>
    <col min="5915" max="5915" width="13.5703125" style="1" customWidth="1"/>
    <col min="5916" max="5918" width="9.140625" style="1"/>
    <col min="5919" max="5919" width="4.7109375" style="1" customWidth="1"/>
    <col min="5920" max="5920" width="9.140625" style="1"/>
    <col min="5921" max="5921" width="12.42578125" style="1" bestFit="1" customWidth="1"/>
    <col min="5922" max="5922" width="4.42578125" style="1" customWidth="1"/>
    <col min="5923" max="5923" width="31.85546875" style="1" customWidth="1"/>
    <col min="5924" max="5924" width="12.7109375" style="1" customWidth="1"/>
    <col min="5925" max="5925" width="12.28515625" style="1" customWidth="1"/>
    <col min="5926" max="5926" width="9.140625" style="1"/>
    <col min="5927" max="5928" width="12.42578125" style="1" bestFit="1" customWidth="1"/>
    <col min="5929" max="5929" width="7.85546875" style="1" customWidth="1"/>
    <col min="5930" max="5930" width="9.140625" style="1"/>
    <col min="5931" max="5931" width="26.7109375" style="1" customWidth="1"/>
    <col min="5932" max="5932" width="13.5703125" style="1" customWidth="1"/>
    <col min="5933" max="5933" width="25" style="1" customWidth="1"/>
    <col min="5934" max="5934" width="15.85546875" style="1" customWidth="1"/>
    <col min="5935" max="5935" width="14.42578125" style="1" customWidth="1"/>
    <col min="5936" max="6141" width="9.140625" style="1"/>
    <col min="6142" max="6142" width="10.28515625" style="1" customWidth="1"/>
    <col min="6143" max="6143" width="25.7109375" style="1" customWidth="1"/>
    <col min="6144" max="6145" width="18.28515625" style="1" customWidth="1"/>
    <col min="6146" max="6146" width="18" style="1" customWidth="1"/>
    <col min="6147" max="6147" width="18.28515625" style="1" customWidth="1"/>
    <col min="6148" max="6148" width="18.140625" style="1" customWidth="1"/>
    <col min="6149" max="6149" width="11.42578125" style="1" customWidth="1"/>
    <col min="6150" max="6150" width="13.42578125" style="1" customWidth="1"/>
    <col min="6151" max="6151" width="12.5703125" style="1" customWidth="1"/>
    <col min="6152" max="6152" width="17.7109375" style="1" customWidth="1"/>
    <col min="6153" max="6153" width="15.140625" style="1" customWidth="1"/>
    <col min="6154" max="6154" width="17.140625" style="1" customWidth="1"/>
    <col min="6155" max="6155" width="18.140625" style="1" customWidth="1"/>
    <col min="6156" max="6156" width="12.140625" style="1" customWidth="1"/>
    <col min="6157" max="6157" width="14" style="1" customWidth="1"/>
    <col min="6158" max="6158" width="13" style="1" bestFit="1" customWidth="1"/>
    <col min="6159" max="6159" width="8.7109375" style="1" customWidth="1"/>
    <col min="6160" max="6160" width="4.7109375" style="1" customWidth="1"/>
    <col min="6161" max="6161" width="10.5703125" style="1" customWidth="1"/>
    <col min="6162" max="6162" width="13.7109375" style="1" customWidth="1"/>
    <col min="6163" max="6163" width="13.42578125" style="1" customWidth="1"/>
    <col min="6164" max="6164" width="12.140625" style="1" customWidth="1"/>
    <col min="6165" max="6166" width="12.42578125" style="1" customWidth="1"/>
    <col min="6167" max="6167" width="10.7109375" style="1" customWidth="1"/>
    <col min="6168" max="6168" width="11.7109375" style="1" customWidth="1"/>
    <col min="6169" max="6169" width="10.42578125" style="1" customWidth="1"/>
    <col min="6170" max="6170" width="10.7109375" style="1" customWidth="1"/>
    <col min="6171" max="6171" width="13.5703125" style="1" customWidth="1"/>
    <col min="6172" max="6174" width="9.140625" style="1"/>
    <col min="6175" max="6175" width="4.7109375" style="1" customWidth="1"/>
    <col min="6176" max="6176" width="9.140625" style="1"/>
    <col min="6177" max="6177" width="12.42578125" style="1" bestFit="1" customWidth="1"/>
    <col min="6178" max="6178" width="4.42578125" style="1" customWidth="1"/>
    <col min="6179" max="6179" width="31.85546875" style="1" customWidth="1"/>
    <col min="6180" max="6180" width="12.7109375" style="1" customWidth="1"/>
    <col min="6181" max="6181" width="12.28515625" style="1" customWidth="1"/>
    <col min="6182" max="6182" width="9.140625" style="1"/>
    <col min="6183" max="6184" width="12.42578125" style="1" bestFit="1" customWidth="1"/>
    <col min="6185" max="6185" width="7.85546875" style="1" customWidth="1"/>
    <col min="6186" max="6186" width="9.140625" style="1"/>
    <col min="6187" max="6187" width="26.7109375" style="1" customWidth="1"/>
    <col min="6188" max="6188" width="13.5703125" style="1" customWidth="1"/>
    <col min="6189" max="6189" width="25" style="1" customWidth="1"/>
    <col min="6190" max="6190" width="15.85546875" style="1" customWidth="1"/>
    <col min="6191" max="6191" width="14.42578125" style="1" customWidth="1"/>
    <col min="6192" max="6397" width="9.140625" style="1"/>
    <col min="6398" max="6398" width="10.28515625" style="1" customWidth="1"/>
    <col min="6399" max="6399" width="25.7109375" style="1" customWidth="1"/>
    <col min="6400" max="6401" width="18.28515625" style="1" customWidth="1"/>
    <col min="6402" max="6402" width="18" style="1" customWidth="1"/>
    <col min="6403" max="6403" width="18.28515625" style="1" customWidth="1"/>
    <col min="6404" max="6404" width="18.140625" style="1" customWidth="1"/>
    <col min="6405" max="6405" width="11.42578125" style="1" customWidth="1"/>
    <col min="6406" max="6406" width="13.42578125" style="1" customWidth="1"/>
    <col min="6407" max="6407" width="12.5703125" style="1" customWidth="1"/>
    <col min="6408" max="6408" width="17.7109375" style="1" customWidth="1"/>
    <col min="6409" max="6409" width="15.140625" style="1" customWidth="1"/>
    <col min="6410" max="6410" width="17.140625" style="1" customWidth="1"/>
    <col min="6411" max="6411" width="18.140625" style="1" customWidth="1"/>
    <col min="6412" max="6412" width="12.140625" style="1" customWidth="1"/>
    <col min="6413" max="6413" width="14" style="1" customWidth="1"/>
    <col min="6414" max="6414" width="13" style="1" bestFit="1" customWidth="1"/>
    <col min="6415" max="6415" width="8.7109375" style="1" customWidth="1"/>
    <col min="6416" max="6416" width="4.7109375" style="1" customWidth="1"/>
    <col min="6417" max="6417" width="10.5703125" style="1" customWidth="1"/>
    <col min="6418" max="6418" width="13.7109375" style="1" customWidth="1"/>
    <col min="6419" max="6419" width="13.42578125" style="1" customWidth="1"/>
    <col min="6420" max="6420" width="12.140625" style="1" customWidth="1"/>
    <col min="6421" max="6422" width="12.42578125" style="1" customWidth="1"/>
    <col min="6423" max="6423" width="10.7109375" style="1" customWidth="1"/>
    <col min="6424" max="6424" width="11.7109375" style="1" customWidth="1"/>
    <col min="6425" max="6425" width="10.42578125" style="1" customWidth="1"/>
    <col min="6426" max="6426" width="10.7109375" style="1" customWidth="1"/>
    <col min="6427" max="6427" width="13.5703125" style="1" customWidth="1"/>
    <col min="6428" max="6430" width="9.140625" style="1"/>
    <col min="6431" max="6431" width="4.7109375" style="1" customWidth="1"/>
    <col min="6432" max="6432" width="9.140625" style="1"/>
    <col min="6433" max="6433" width="12.42578125" style="1" bestFit="1" customWidth="1"/>
    <col min="6434" max="6434" width="4.42578125" style="1" customWidth="1"/>
    <col min="6435" max="6435" width="31.85546875" style="1" customWidth="1"/>
    <col min="6436" max="6436" width="12.7109375" style="1" customWidth="1"/>
    <col min="6437" max="6437" width="12.28515625" style="1" customWidth="1"/>
    <col min="6438" max="6438" width="9.140625" style="1"/>
    <col min="6439" max="6440" width="12.42578125" style="1" bestFit="1" customWidth="1"/>
    <col min="6441" max="6441" width="7.85546875" style="1" customWidth="1"/>
    <col min="6442" max="6442" width="9.140625" style="1"/>
    <col min="6443" max="6443" width="26.7109375" style="1" customWidth="1"/>
    <col min="6444" max="6444" width="13.5703125" style="1" customWidth="1"/>
    <col min="6445" max="6445" width="25" style="1" customWidth="1"/>
    <col min="6446" max="6446" width="15.85546875" style="1" customWidth="1"/>
    <col min="6447" max="6447" width="14.42578125" style="1" customWidth="1"/>
    <col min="6448" max="6653" width="9.140625" style="1"/>
    <col min="6654" max="6654" width="10.28515625" style="1" customWidth="1"/>
    <col min="6655" max="6655" width="25.7109375" style="1" customWidth="1"/>
    <col min="6656" max="6657" width="18.28515625" style="1" customWidth="1"/>
    <col min="6658" max="6658" width="18" style="1" customWidth="1"/>
    <col min="6659" max="6659" width="18.28515625" style="1" customWidth="1"/>
    <col min="6660" max="6660" width="18.140625" style="1" customWidth="1"/>
    <col min="6661" max="6661" width="11.42578125" style="1" customWidth="1"/>
    <col min="6662" max="6662" width="13.42578125" style="1" customWidth="1"/>
    <col min="6663" max="6663" width="12.5703125" style="1" customWidth="1"/>
    <col min="6664" max="6664" width="17.7109375" style="1" customWidth="1"/>
    <col min="6665" max="6665" width="15.140625" style="1" customWidth="1"/>
    <col min="6666" max="6666" width="17.140625" style="1" customWidth="1"/>
    <col min="6667" max="6667" width="18.140625" style="1" customWidth="1"/>
    <col min="6668" max="6668" width="12.140625" style="1" customWidth="1"/>
    <col min="6669" max="6669" width="14" style="1" customWidth="1"/>
    <col min="6670" max="6670" width="13" style="1" bestFit="1" customWidth="1"/>
    <col min="6671" max="6671" width="8.7109375" style="1" customWidth="1"/>
    <col min="6672" max="6672" width="4.7109375" style="1" customWidth="1"/>
    <col min="6673" max="6673" width="10.5703125" style="1" customWidth="1"/>
    <col min="6674" max="6674" width="13.7109375" style="1" customWidth="1"/>
    <col min="6675" max="6675" width="13.42578125" style="1" customWidth="1"/>
    <col min="6676" max="6676" width="12.140625" style="1" customWidth="1"/>
    <col min="6677" max="6678" width="12.42578125" style="1" customWidth="1"/>
    <col min="6679" max="6679" width="10.7109375" style="1" customWidth="1"/>
    <col min="6680" max="6680" width="11.7109375" style="1" customWidth="1"/>
    <col min="6681" max="6681" width="10.42578125" style="1" customWidth="1"/>
    <col min="6682" max="6682" width="10.7109375" style="1" customWidth="1"/>
    <col min="6683" max="6683" width="13.5703125" style="1" customWidth="1"/>
    <col min="6684" max="6686" width="9.140625" style="1"/>
    <col min="6687" max="6687" width="4.7109375" style="1" customWidth="1"/>
    <col min="6688" max="6688" width="9.140625" style="1"/>
    <col min="6689" max="6689" width="12.42578125" style="1" bestFit="1" customWidth="1"/>
    <col min="6690" max="6690" width="4.42578125" style="1" customWidth="1"/>
    <col min="6691" max="6691" width="31.85546875" style="1" customWidth="1"/>
    <col min="6692" max="6692" width="12.7109375" style="1" customWidth="1"/>
    <col min="6693" max="6693" width="12.28515625" style="1" customWidth="1"/>
    <col min="6694" max="6694" width="9.140625" style="1"/>
    <col min="6695" max="6696" width="12.42578125" style="1" bestFit="1" customWidth="1"/>
    <col min="6697" max="6697" width="7.85546875" style="1" customWidth="1"/>
    <col min="6698" max="6698" width="9.140625" style="1"/>
    <col min="6699" max="6699" width="26.7109375" style="1" customWidth="1"/>
    <col min="6700" max="6700" width="13.5703125" style="1" customWidth="1"/>
    <col min="6701" max="6701" width="25" style="1" customWidth="1"/>
    <col min="6702" max="6702" width="15.85546875" style="1" customWidth="1"/>
    <col min="6703" max="6703" width="14.42578125" style="1" customWidth="1"/>
    <col min="6704" max="6909" width="9.140625" style="1"/>
    <col min="6910" max="6910" width="10.28515625" style="1" customWidth="1"/>
    <col min="6911" max="6911" width="25.7109375" style="1" customWidth="1"/>
    <col min="6912" max="6913" width="18.28515625" style="1" customWidth="1"/>
    <col min="6914" max="6914" width="18" style="1" customWidth="1"/>
    <col min="6915" max="6915" width="18.28515625" style="1" customWidth="1"/>
    <col min="6916" max="6916" width="18.140625" style="1" customWidth="1"/>
    <col min="6917" max="6917" width="11.42578125" style="1" customWidth="1"/>
    <col min="6918" max="6918" width="13.42578125" style="1" customWidth="1"/>
    <col min="6919" max="6919" width="12.5703125" style="1" customWidth="1"/>
    <col min="6920" max="6920" width="17.7109375" style="1" customWidth="1"/>
    <col min="6921" max="6921" width="15.140625" style="1" customWidth="1"/>
    <col min="6922" max="6922" width="17.140625" style="1" customWidth="1"/>
    <col min="6923" max="6923" width="18.140625" style="1" customWidth="1"/>
    <col min="6924" max="6924" width="12.140625" style="1" customWidth="1"/>
    <col min="6925" max="6925" width="14" style="1" customWidth="1"/>
    <col min="6926" max="6926" width="13" style="1" bestFit="1" customWidth="1"/>
    <col min="6927" max="6927" width="8.7109375" style="1" customWidth="1"/>
    <col min="6928" max="6928" width="4.7109375" style="1" customWidth="1"/>
    <col min="6929" max="6929" width="10.5703125" style="1" customWidth="1"/>
    <col min="6930" max="6930" width="13.7109375" style="1" customWidth="1"/>
    <col min="6931" max="6931" width="13.42578125" style="1" customWidth="1"/>
    <col min="6932" max="6932" width="12.140625" style="1" customWidth="1"/>
    <col min="6933" max="6934" width="12.42578125" style="1" customWidth="1"/>
    <col min="6935" max="6935" width="10.7109375" style="1" customWidth="1"/>
    <col min="6936" max="6936" width="11.7109375" style="1" customWidth="1"/>
    <col min="6937" max="6937" width="10.42578125" style="1" customWidth="1"/>
    <col min="6938" max="6938" width="10.7109375" style="1" customWidth="1"/>
    <col min="6939" max="6939" width="13.5703125" style="1" customWidth="1"/>
    <col min="6940" max="6942" width="9.140625" style="1"/>
    <col min="6943" max="6943" width="4.7109375" style="1" customWidth="1"/>
    <col min="6944" max="6944" width="9.140625" style="1"/>
    <col min="6945" max="6945" width="12.42578125" style="1" bestFit="1" customWidth="1"/>
    <col min="6946" max="6946" width="4.42578125" style="1" customWidth="1"/>
    <col min="6947" max="6947" width="31.85546875" style="1" customWidth="1"/>
    <col min="6948" max="6948" width="12.7109375" style="1" customWidth="1"/>
    <col min="6949" max="6949" width="12.28515625" style="1" customWidth="1"/>
    <col min="6950" max="6950" width="9.140625" style="1"/>
    <col min="6951" max="6952" width="12.42578125" style="1" bestFit="1" customWidth="1"/>
    <col min="6953" max="6953" width="7.85546875" style="1" customWidth="1"/>
    <col min="6954" max="6954" width="9.140625" style="1"/>
    <col min="6955" max="6955" width="26.7109375" style="1" customWidth="1"/>
    <col min="6956" max="6956" width="13.5703125" style="1" customWidth="1"/>
    <col min="6957" max="6957" width="25" style="1" customWidth="1"/>
    <col min="6958" max="6958" width="15.85546875" style="1" customWidth="1"/>
    <col min="6959" max="6959" width="14.42578125" style="1" customWidth="1"/>
    <col min="6960" max="7165" width="9.140625" style="1"/>
    <col min="7166" max="7166" width="10.28515625" style="1" customWidth="1"/>
    <col min="7167" max="7167" width="25.7109375" style="1" customWidth="1"/>
    <col min="7168" max="7169" width="18.28515625" style="1" customWidth="1"/>
    <col min="7170" max="7170" width="18" style="1" customWidth="1"/>
    <col min="7171" max="7171" width="18.28515625" style="1" customWidth="1"/>
    <col min="7172" max="7172" width="18.140625" style="1" customWidth="1"/>
    <col min="7173" max="7173" width="11.42578125" style="1" customWidth="1"/>
    <col min="7174" max="7174" width="13.42578125" style="1" customWidth="1"/>
    <col min="7175" max="7175" width="12.5703125" style="1" customWidth="1"/>
    <col min="7176" max="7176" width="17.7109375" style="1" customWidth="1"/>
    <col min="7177" max="7177" width="15.140625" style="1" customWidth="1"/>
    <col min="7178" max="7178" width="17.140625" style="1" customWidth="1"/>
    <col min="7179" max="7179" width="18.140625" style="1" customWidth="1"/>
    <col min="7180" max="7180" width="12.140625" style="1" customWidth="1"/>
    <col min="7181" max="7181" width="14" style="1" customWidth="1"/>
    <col min="7182" max="7182" width="13" style="1" bestFit="1" customWidth="1"/>
    <col min="7183" max="7183" width="8.7109375" style="1" customWidth="1"/>
    <col min="7184" max="7184" width="4.7109375" style="1" customWidth="1"/>
    <col min="7185" max="7185" width="10.5703125" style="1" customWidth="1"/>
    <col min="7186" max="7186" width="13.7109375" style="1" customWidth="1"/>
    <col min="7187" max="7187" width="13.42578125" style="1" customWidth="1"/>
    <col min="7188" max="7188" width="12.140625" style="1" customWidth="1"/>
    <col min="7189" max="7190" width="12.42578125" style="1" customWidth="1"/>
    <col min="7191" max="7191" width="10.7109375" style="1" customWidth="1"/>
    <col min="7192" max="7192" width="11.7109375" style="1" customWidth="1"/>
    <col min="7193" max="7193" width="10.42578125" style="1" customWidth="1"/>
    <col min="7194" max="7194" width="10.7109375" style="1" customWidth="1"/>
    <col min="7195" max="7195" width="13.5703125" style="1" customWidth="1"/>
    <col min="7196" max="7198" width="9.140625" style="1"/>
    <col min="7199" max="7199" width="4.7109375" style="1" customWidth="1"/>
    <col min="7200" max="7200" width="9.140625" style="1"/>
    <col min="7201" max="7201" width="12.42578125" style="1" bestFit="1" customWidth="1"/>
    <col min="7202" max="7202" width="4.42578125" style="1" customWidth="1"/>
    <col min="7203" max="7203" width="31.85546875" style="1" customWidth="1"/>
    <col min="7204" max="7204" width="12.7109375" style="1" customWidth="1"/>
    <col min="7205" max="7205" width="12.28515625" style="1" customWidth="1"/>
    <col min="7206" max="7206" width="9.140625" style="1"/>
    <col min="7207" max="7208" width="12.42578125" style="1" bestFit="1" customWidth="1"/>
    <col min="7209" max="7209" width="7.85546875" style="1" customWidth="1"/>
    <col min="7210" max="7210" width="9.140625" style="1"/>
    <col min="7211" max="7211" width="26.7109375" style="1" customWidth="1"/>
    <col min="7212" max="7212" width="13.5703125" style="1" customWidth="1"/>
    <col min="7213" max="7213" width="25" style="1" customWidth="1"/>
    <col min="7214" max="7214" width="15.85546875" style="1" customWidth="1"/>
    <col min="7215" max="7215" width="14.42578125" style="1" customWidth="1"/>
    <col min="7216" max="7421" width="9.140625" style="1"/>
    <col min="7422" max="7422" width="10.28515625" style="1" customWidth="1"/>
    <col min="7423" max="7423" width="25.7109375" style="1" customWidth="1"/>
    <col min="7424" max="7425" width="18.28515625" style="1" customWidth="1"/>
    <col min="7426" max="7426" width="18" style="1" customWidth="1"/>
    <col min="7427" max="7427" width="18.28515625" style="1" customWidth="1"/>
    <col min="7428" max="7428" width="18.140625" style="1" customWidth="1"/>
    <col min="7429" max="7429" width="11.42578125" style="1" customWidth="1"/>
    <col min="7430" max="7430" width="13.42578125" style="1" customWidth="1"/>
    <col min="7431" max="7431" width="12.5703125" style="1" customWidth="1"/>
    <col min="7432" max="7432" width="17.7109375" style="1" customWidth="1"/>
    <col min="7433" max="7433" width="15.140625" style="1" customWidth="1"/>
    <col min="7434" max="7434" width="17.140625" style="1" customWidth="1"/>
    <col min="7435" max="7435" width="18.140625" style="1" customWidth="1"/>
    <col min="7436" max="7436" width="12.140625" style="1" customWidth="1"/>
    <col min="7437" max="7437" width="14" style="1" customWidth="1"/>
    <col min="7438" max="7438" width="13" style="1" bestFit="1" customWidth="1"/>
    <col min="7439" max="7439" width="8.7109375" style="1" customWidth="1"/>
    <col min="7440" max="7440" width="4.7109375" style="1" customWidth="1"/>
    <col min="7441" max="7441" width="10.5703125" style="1" customWidth="1"/>
    <col min="7442" max="7442" width="13.7109375" style="1" customWidth="1"/>
    <col min="7443" max="7443" width="13.42578125" style="1" customWidth="1"/>
    <col min="7444" max="7444" width="12.140625" style="1" customWidth="1"/>
    <col min="7445" max="7446" width="12.42578125" style="1" customWidth="1"/>
    <col min="7447" max="7447" width="10.7109375" style="1" customWidth="1"/>
    <col min="7448" max="7448" width="11.7109375" style="1" customWidth="1"/>
    <col min="7449" max="7449" width="10.42578125" style="1" customWidth="1"/>
    <col min="7450" max="7450" width="10.7109375" style="1" customWidth="1"/>
    <col min="7451" max="7451" width="13.5703125" style="1" customWidth="1"/>
    <col min="7452" max="7454" width="9.140625" style="1"/>
    <col min="7455" max="7455" width="4.7109375" style="1" customWidth="1"/>
    <col min="7456" max="7456" width="9.140625" style="1"/>
    <col min="7457" max="7457" width="12.42578125" style="1" bestFit="1" customWidth="1"/>
    <col min="7458" max="7458" width="4.42578125" style="1" customWidth="1"/>
    <col min="7459" max="7459" width="31.85546875" style="1" customWidth="1"/>
    <col min="7460" max="7460" width="12.7109375" style="1" customWidth="1"/>
    <col min="7461" max="7461" width="12.28515625" style="1" customWidth="1"/>
    <col min="7462" max="7462" width="9.140625" style="1"/>
    <col min="7463" max="7464" width="12.42578125" style="1" bestFit="1" customWidth="1"/>
    <col min="7465" max="7465" width="7.85546875" style="1" customWidth="1"/>
    <col min="7466" max="7466" width="9.140625" style="1"/>
    <col min="7467" max="7467" width="26.7109375" style="1" customWidth="1"/>
    <col min="7468" max="7468" width="13.5703125" style="1" customWidth="1"/>
    <col min="7469" max="7469" width="25" style="1" customWidth="1"/>
    <col min="7470" max="7470" width="15.85546875" style="1" customWidth="1"/>
    <col min="7471" max="7471" width="14.42578125" style="1" customWidth="1"/>
    <col min="7472" max="7677" width="9.140625" style="1"/>
    <col min="7678" max="7678" width="10.28515625" style="1" customWidth="1"/>
    <col min="7679" max="7679" width="25.7109375" style="1" customWidth="1"/>
    <col min="7680" max="7681" width="18.28515625" style="1" customWidth="1"/>
    <col min="7682" max="7682" width="18" style="1" customWidth="1"/>
    <col min="7683" max="7683" width="18.28515625" style="1" customWidth="1"/>
    <col min="7684" max="7684" width="18.140625" style="1" customWidth="1"/>
    <col min="7685" max="7685" width="11.42578125" style="1" customWidth="1"/>
    <col min="7686" max="7686" width="13.42578125" style="1" customWidth="1"/>
    <col min="7687" max="7687" width="12.5703125" style="1" customWidth="1"/>
    <col min="7688" max="7688" width="17.7109375" style="1" customWidth="1"/>
    <col min="7689" max="7689" width="15.140625" style="1" customWidth="1"/>
    <col min="7690" max="7690" width="17.140625" style="1" customWidth="1"/>
    <col min="7691" max="7691" width="18.140625" style="1" customWidth="1"/>
    <col min="7692" max="7692" width="12.140625" style="1" customWidth="1"/>
    <col min="7693" max="7693" width="14" style="1" customWidth="1"/>
    <col min="7694" max="7694" width="13" style="1" bestFit="1" customWidth="1"/>
    <col min="7695" max="7695" width="8.7109375" style="1" customWidth="1"/>
    <col min="7696" max="7696" width="4.7109375" style="1" customWidth="1"/>
    <col min="7697" max="7697" width="10.5703125" style="1" customWidth="1"/>
    <col min="7698" max="7698" width="13.7109375" style="1" customWidth="1"/>
    <col min="7699" max="7699" width="13.42578125" style="1" customWidth="1"/>
    <col min="7700" max="7700" width="12.140625" style="1" customWidth="1"/>
    <col min="7701" max="7702" width="12.42578125" style="1" customWidth="1"/>
    <col min="7703" max="7703" width="10.7109375" style="1" customWidth="1"/>
    <col min="7704" max="7704" width="11.7109375" style="1" customWidth="1"/>
    <col min="7705" max="7705" width="10.42578125" style="1" customWidth="1"/>
    <col min="7706" max="7706" width="10.7109375" style="1" customWidth="1"/>
    <col min="7707" max="7707" width="13.5703125" style="1" customWidth="1"/>
    <col min="7708" max="7710" width="9.140625" style="1"/>
    <col min="7711" max="7711" width="4.7109375" style="1" customWidth="1"/>
    <col min="7712" max="7712" width="9.140625" style="1"/>
    <col min="7713" max="7713" width="12.42578125" style="1" bestFit="1" customWidth="1"/>
    <col min="7714" max="7714" width="4.42578125" style="1" customWidth="1"/>
    <col min="7715" max="7715" width="31.85546875" style="1" customWidth="1"/>
    <col min="7716" max="7716" width="12.7109375" style="1" customWidth="1"/>
    <col min="7717" max="7717" width="12.28515625" style="1" customWidth="1"/>
    <col min="7718" max="7718" width="9.140625" style="1"/>
    <col min="7719" max="7720" width="12.42578125" style="1" bestFit="1" customWidth="1"/>
    <col min="7721" max="7721" width="7.85546875" style="1" customWidth="1"/>
    <col min="7722" max="7722" width="9.140625" style="1"/>
    <col min="7723" max="7723" width="26.7109375" style="1" customWidth="1"/>
    <col min="7724" max="7724" width="13.5703125" style="1" customWidth="1"/>
    <col min="7725" max="7725" width="25" style="1" customWidth="1"/>
    <col min="7726" max="7726" width="15.85546875" style="1" customWidth="1"/>
    <col min="7727" max="7727" width="14.42578125" style="1" customWidth="1"/>
    <col min="7728" max="7933" width="9.140625" style="1"/>
    <col min="7934" max="7934" width="10.28515625" style="1" customWidth="1"/>
    <col min="7935" max="7935" width="25.7109375" style="1" customWidth="1"/>
    <col min="7936" max="7937" width="18.28515625" style="1" customWidth="1"/>
    <col min="7938" max="7938" width="18" style="1" customWidth="1"/>
    <col min="7939" max="7939" width="18.28515625" style="1" customWidth="1"/>
    <col min="7940" max="7940" width="18.140625" style="1" customWidth="1"/>
    <col min="7941" max="7941" width="11.42578125" style="1" customWidth="1"/>
    <col min="7942" max="7942" width="13.42578125" style="1" customWidth="1"/>
    <col min="7943" max="7943" width="12.5703125" style="1" customWidth="1"/>
    <col min="7944" max="7944" width="17.7109375" style="1" customWidth="1"/>
    <col min="7945" max="7945" width="15.140625" style="1" customWidth="1"/>
    <col min="7946" max="7946" width="17.140625" style="1" customWidth="1"/>
    <col min="7947" max="7947" width="18.140625" style="1" customWidth="1"/>
    <col min="7948" max="7948" width="12.140625" style="1" customWidth="1"/>
    <col min="7949" max="7949" width="14" style="1" customWidth="1"/>
    <col min="7950" max="7950" width="13" style="1" bestFit="1" customWidth="1"/>
    <col min="7951" max="7951" width="8.7109375" style="1" customWidth="1"/>
    <col min="7952" max="7952" width="4.7109375" style="1" customWidth="1"/>
    <col min="7953" max="7953" width="10.5703125" style="1" customWidth="1"/>
    <col min="7954" max="7954" width="13.7109375" style="1" customWidth="1"/>
    <col min="7955" max="7955" width="13.42578125" style="1" customWidth="1"/>
    <col min="7956" max="7956" width="12.140625" style="1" customWidth="1"/>
    <col min="7957" max="7958" width="12.42578125" style="1" customWidth="1"/>
    <col min="7959" max="7959" width="10.7109375" style="1" customWidth="1"/>
    <col min="7960" max="7960" width="11.7109375" style="1" customWidth="1"/>
    <col min="7961" max="7961" width="10.42578125" style="1" customWidth="1"/>
    <col min="7962" max="7962" width="10.7109375" style="1" customWidth="1"/>
    <col min="7963" max="7963" width="13.5703125" style="1" customWidth="1"/>
    <col min="7964" max="7966" width="9.140625" style="1"/>
    <col min="7967" max="7967" width="4.7109375" style="1" customWidth="1"/>
    <col min="7968" max="7968" width="9.140625" style="1"/>
    <col min="7969" max="7969" width="12.42578125" style="1" bestFit="1" customWidth="1"/>
    <col min="7970" max="7970" width="4.42578125" style="1" customWidth="1"/>
    <col min="7971" max="7971" width="31.85546875" style="1" customWidth="1"/>
    <col min="7972" max="7972" width="12.7109375" style="1" customWidth="1"/>
    <col min="7973" max="7973" width="12.28515625" style="1" customWidth="1"/>
    <col min="7974" max="7974" width="9.140625" style="1"/>
    <col min="7975" max="7976" width="12.42578125" style="1" bestFit="1" customWidth="1"/>
    <col min="7977" max="7977" width="7.85546875" style="1" customWidth="1"/>
    <col min="7978" max="7978" width="9.140625" style="1"/>
    <col min="7979" max="7979" width="26.7109375" style="1" customWidth="1"/>
    <col min="7980" max="7980" width="13.5703125" style="1" customWidth="1"/>
    <col min="7981" max="7981" width="25" style="1" customWidth="1"/>
    <col min="7982" max="7982" width="15.85546875" style="1" customWidth="1"/>
    <col min="7983" max="7983" width="14.42578125" style="1" customWidth="1"/>
    <col min="7984" max="8189" width="9.140625" style="1"/>
    <col min="8190" max="8190" width="10.28515625" style="1" customWidth="1"/>
    <col min="8191" max="8191" width="25.7109375" style="1" customWidth="1"/>
    <col min="8192" max="8193" width="18.28515625" style="1" customWidth="1"/>
    <col min="8194" max="8194" width="18" style="1" customWidth="1"/>
    <col min="8195" max="8195" width="18.28515625" style="1" customWidth="1"/>
    <col min="8196" max="8196" width="18.140625" style="1" customWidth="1"/>
    <col min="8197" max="8197" width="11.42578125" style="1" customWidth="1"/>
    <col min="8198" max="8198" width="13.42578125" style="1" customWidth="1"/>
    <col min="8199" max="8199" width="12.5703125" style="1" customWidth="1"/>
    <col min="8200" max="8200" width="17.7109375" style="1" customWidth="1"/>
    <col min="8201" max="8201" width="15.140625" style="1" customWidth="1"/>
    <col min="8202" max="8202" width="17.140625" style="1" customWidth="1"/>
    <col min="8203" max="8203" width="18.140625" style="1" customWidth="1"/>
    <col min="8204" max="8204" width="12.140625" style="1" customWidth="1"/>
    <col min="8205" max="8205" width="14" style="1" customWidth="1"/>
    <col min="8206" max="8206" width="13" style="1" bestFit="1" customWidth="1"/>
    <col min="8207" max="8207" width="8.7109375" style="1" customWidth="1"/>
    <col min="8208" max="8208" width="4.7109375" style="1" customWidth="1"/>
    <col min="8209" max="8209" width="10.5703125" style="1" customWidth="1"/>
    <col min="8210" max="8210" width="13.7109375" style="1" customWidth="1"/>
    <col min="8211" max="8211" width="13.42578125" style="1" customWidth="1"/>
    <col min="8212" max="8212" width="12.140625" style="1" customWidth="1"/>
    <col min="8213" max="8214" width="12.42578125" style="1" customWidth="1"/>
    <col min="8215" max="8215" width="10.7109375" style="1" customWidth="1"/>
    <col min="8216" max="8216" width="11.7109375" style="1" customWidth="1"/>
    <col min="8217" max="8217" width="10.42578125" style="1" customWidth="1"/>
    <col min="8218" max="8218" width="10.7109375" style="1" customWidth="1"/>
    <col min="8219" max="8219" width="13.5703125" style="1" customWidth="1"/>
    <col min="8220" max="8222" width="9.140625" style="1"/>
    <col min="8223" max="8223" width="4.7109375" style="1" customWidth="1"/>
    <col min="8224" max="8224" width="9.140625" style="1"/>
    <col min="8225" max="8225" width="12.42578125" style="1" bestFit="1" customWidth="1"/>
    <col min="8226" max="8226" width="4.42578125" style="1" customWidth="1"/>
    <col min="8227" max="8227" width="31.85546875" style="1" customWidth="1"/>
    <col min="8228" max="8228" width="12.7109375" style="1" customWidth="1"/>
    <col min="8229" max="8229" width="12.28515625" style="1" customWidth="1"/>
    <col min="8230" max="8230" width="9.140625" style="1"/>
    <col min="8231" max="8232" width="12.42578125" style="1" bestFit="1" customWidth="1"/>
    <col min="8233" max="8233" width="7.85546875" style="1" customWidth="1"/>
    <col min="8234" max="8234" width="9.140625" style="1"/>
    <col min="8235" max="8235" width="26.7109375" style="1" customWidth="1"/>
    <col min="8236" max="8236" width="13.5703125" style="1" customWidth="1"/>
    <col min="8237" max="8237" width="25" style="1" customWidth="1"/>
    <col min="8238" max="8238" width="15.85546875" style="1" customWidth="1"/>
    <col min="8239" max="8239" width="14.42578125" style="1" customWidth="1"/>
    <col min="8240" max="8445" width="9.140625" style="1"/>
    <col min="8446" max="8446" width="10.28515625" style="1" customWidth="1"/>
    <col min="8447" max="8447" width="25.7109375" style="1" customWidth="1"/>
    <col min="8448" max="8449" width="18.28515625" style="1" customWidth="1"/>
    <col min="8450" max="8450" width="18" style="1" customWidth="1"/>
    <col min="8451" max="8451" width="18.28515625" style="1" customWidth="1"/>
    <col min="8452" max="8452" width="18.140625" style="1" customWidth="1"/>
    <col min="8453" max="8453" width="11.42578125" style="1" customWidth="1"/>
    <col min="8454" max="8454" width="13.42578125" style="1" customWidth="1"/>
    <col min="8455" max="8455" width="12.5703125" style="1" customWidth="1"/>
    <col min="8456" max="8456" width="17.7109375" style="1" customWidth="1"/>
    <col min="8457" max="8457" width="15.140625" style="1" customWidth="1"/>
    <col min="8458" max="8458" width="17.140625" style="1" customWidth="1"/>
    <col min="8459" max="8459" width="18.140625" style="1" customWidth="1"/>
    <col min="8460" max="8460" width="12.140625" style="1" customWidth="1"/>
    <col min="8461" max="8461" width="14" style="1" customWidth="1"/>
    <col min="8462" max="8462" width="13" style="1" bestFit="1" customWidth="1"/>
    <col min="8463" max="8463" width="8.7109375" style="1" customWidth="1"/>
    <col min="8464" max="8464" width="4.7109375" style="1" customWidth="1"/>
    <col min="8465" max="8465" width="10.5703125" style="1" customWidth="1"/>
    <col min="8466" max="8466" width="13.7109375" style="1" customWidth="1"/>
    <col min="8467" max="8467" width="13.42578125" style="1" customWidth="1"/>
    <col min="8468" max="8468" width="12.140625" style="1" customWidth="1"/>
    <col min="8469" max="8470" width="12.42578125" style="1" customWidth="1"/>
    <col min="8471" max="8471" width="10.7109375" style="1" customWidth="1"/>
    <col min="8472" max="8472" width="11.7109375" style="1" customWidth="1"/>
    <col min="8473" max="8473" width="10.42578125" style="1" customWidth="1"/>
    <col min="8474" max="8474" width="10.7109375" style="1" customWidth="1"/>
    <col min="8475" max="8475" width="13.5703125" style="1" customWidth="1"/>
    <col min="8476" max="8478" width="9.140625" style="1"/>
    <col min="8479" max="8479" width="4.7109375" style="1" customWidth="1"/>
    <col min="8480" max="8480" width="9.140625" style="1"/>
    <col min="8481" max="8481" width="12.42578125" style="1" bestFit="1" customWidth="1"/>
    <col min="8482" max="8482" width="4.42578125" style="1" customWidth="1"/>
    <col min="8483" max="8483" width="31.85546875" style="1" customWidth="1"/>
    <col min="8484" max="8484" width="12.7109375" style="1" customWidth="1"/>
    <col min="8485" max="8485" width="12.28515625" style="1" customWidth="1"/>
    <col min="8486" max="8486" width="9.140625" style="1"/>
    <col min="8487" max="8488" width="12.42578125" style="1" bestFit="1" customWidth="1"/>
    <col min="8489" max="8489" width="7.85546875" style="1" customWidth="1"/>
    <col min="8490" max="8490" width="9.140625" style="1"/>
    <col min="8491" max="8491" width="26.7109375" style="1" customWidth="1"/>
    <col min="8492" max="8492" width="13.5703125" style="1" customWidth="1"/>
    <col min="8493" max="8493" width="25" style="1" customWidth="1"/>
    <col min="8494" max="8494" width="15.85546875" style="1" customWidth="1"/>
    <col min="8495" max="8495" width="14.42578125" style="1" customWidth="1"/>
    <col min="8496" max="8701" width="9.140625" style="1"/>
    <col min="8702" max="8702" width="10.28515625" style="1" customWidth="1"/>
    <col min="8703" max="8703" width="25.7109375" style="1" customWidth="1"/>
    <col min="8704" max="8705" width="18.28515625" style="1" customWidth="1"/>
    <col min="8706" max="8706" width="18" style="1" customWidth="1"/>
    <col min="8707" max="8707" width="18.28515625" style="1" customWidth="1"/>
    <col min="8708" max="8708" width="18.140625" style="1" customWidth="1"/>
    <col min="8709" max="8709" width="11.42578125" style="1" customWidth="1"/>
    <col min="8710" max="8710" width="13.42578125" style="1" customWidth="1"/>
    <col min="8711" max="8711" width="12.5703125" style="1" customWidth="1"/>
    <col min="8712" max="8712" width="17.7109375" style="1" customWidth="1"/>
    <col min="8713" max="8713" width="15.140625" style="1" customWidth="1"/>
    <col min="8714" max="8714" width="17.140625" style="1" customWidth="1"/>
    <col min="8715" max="8715" width="18.140625" style="1" customWidth="1"/>
    <col min="8716" max="8716" width="12.140625" style="1" customWidth="1"/>
    <col min="8717" max="8717" width="14" style="1" customWidth="1"/>
    <col min="8718" max="8718" width="13" style="1" bestFit="1" customWidth="1"/>
    <col min="8719" max="8719" width="8.7109375" style="1" customWidth="1"/>
    <col min="8720" max="8720" width="4.7109375" style="1" customWidth="1"/>
    <col min="8721" max="8721" width="10.5703125" style="1" customWidth="1"/>
    <col min="8722" max="8722" width="13.7109375" style="1" customWidth="1"/>
    <col min="8723" max="8723" width="13.42578125" style="1" customWidth="1"/>
    <col min="8724" max="8724" width="12.140625" style="1" customWidth="1"/>
    <col min="8725" max="8726" width="12.42578125" style="1" customWidth="1"/>
    <col min="8727" max="8727" width="10.7109375" style="1" customWidth="1"/>
    <col min="8728" max="8728" width="11.7109375" style="1" customWidth="1"/>
    <col min="8729" max="8729" width="10.42578125" style="1" customWidth="1"/>
    <col min="8730" max="8730" width="10.7109375" style="1" customWidth="1"/>
    <col min="8731" max="8731" width="13.5703125" style="1" customWidth="1"/>
    <col min="8732" max="8734" width="9.140625" style="1"/>
    <col min="8735" max="8735" width="4.7109375" style="1" customWidth="1"/>
    <col min="8736" max="8736" width="9.140625" style="1"/>
    <col min="8737" max="8737" width="12.42578125" style="1" bestFit="1" customWidth="1"/>
    <col min="8738" max="8738" width="4.42578125" style="1" customWidth="1"/>
    <col min="8739" max="8739" width="31.85546875" style="1" customWidth="1"/>
    <col min="8740" max="8740" width="12.7109375" style="1" customWidth="1"/>
    <col min="8741" max="8741" width="12.28515625" style="1" customWidth="1"/>
    <col min="8742" max="8742" width="9.140625" style="1"/>
    <col min="8743" max="8744" width="12.42578125" style="1" bestFit="1" customWidth="1"/>
    <col min="8745" max="8745" width="7.85546875" style="1" customWidth="1"/>
    <col min="8746" max="8746" width="9.140625" style="1"/>
    <col min="8747" max="8747" width="26.7109375" style="1" customWidth="1"/>
    <col min="8748" max="8748" width="13.5703125" style="1" customWidth="1"/>
    <col min="8749" max="8749" width="25" style="1" customWidth="1"/>
    <col min="8750" max="8750" width="15.85546875" style="1" customWidth="1"/>
    <col min="8751" max="8751" width="14.42578125" style="1" customWidth="1"/>
    <col min="8752" max="8957" width="9.140625" style="1"/>
    <col min="8958" max="8958" width="10.28515625" style="1" customWidth="1"/>
    <col min="8959" max="8959" width="25.7109375" style="1" customWidth="1"/>
    <col min="8960" max="8961" width="18.28515625" style="1" customWidth="1"/>
    <col min="8962" max="8962" width="18" style="1" customWidth="1"/>
    <col min="8963" max="8963" width="18.28515625" style="1" customWidth="1"/>
    <col min="8964" max="8964" width="18.140625" style="1" customWidth="1"/>
    <col min="8965" max="8965" width="11.42578125" style="1" customWidth="1"/>
    <col min="8966" max="8966" width="13.42578125" style="1" customWidth="1"/>
    <col min="8967" max="8967" width="12.5703125" style="1" customWidth="1"/>
    <col min="8968" max="8968" width="17.7109375" style="1" customWidth="1"/>
    <col min="8969" max="8969" width="15.140625" style="1" customWidth="1"/>
    <col min="8970" max="8970" width="17.140625" style="1" customWidth="1"/>
    <col min="8971" max="8971" width="18.140625" style="1" customWidth="1"/>
    <col min="8972" max="8972" width="12.140625" style="1" customWidth="1"/>
    <col min="8973" max="8973" width="14" style="1" customWidth="1"/>
    <col min="8974" max="8974" width="13" style="1" bestFit="1" customWidth="1"/>
    <col min="8975" max="8975" width="8.7109375" style="1" customWidth="1"/>
    <col min="8976" max="8976" width="4.7109375" style="1" customWidth="1"/>
    <col min="8977" max="8977" width="10.5703125" style="1" customWidth="1"/>
    <col min="8978" max="8978" width="13.7109375" style="1" customWidth="1"/>
    <col min="8979" max="8979" width="13.42578125" style="1" customWidth="1"/>
    <col min="8980" max="8980" width="12.140625" style="1" customWidth="1"/>
    <col min="8981" max="8982" width="12.42578125" style="1" customWidth="1"/>
    <col min="8983" max="8983" width="10.7109375" style="1" customWidth="1"/>
    <col min="8984" max="8984" width="11.7109375" style="1" customWidth="1"/>
    <col min="8985" max="8985" width="10.42578125" style="1" customWidth="1"/>
    <col min="8986" max="8986" width="10.7109375" style="1" customWidth="1"/>
    <col min="8987" max="8987" width="13.5703125" style="1" customWidth="1"/>
    <col min="8988" max="8990" width="9.140625" style="1"/>
    <col min="8991" max="8991" width="4.7109375" style="1" customWidth="1"/>
    <col min="8992" max="8992" width="9.140625" style="1"/>
    <col min="8993" max="8993" width="12.42578125" style="1" bestFit="1" customWidth="1"/>
    <col min="8994" max="8994" width="4.42578125" style="1" customWidth="1"/>
    <col min="8995" max="8995" width="31.85546875" style="1" customWidth="1"/>
    <col min="8996" max="8996" width="12.7109375" style="1" customWidth="1"/>
    <col min="8997" max="8997" width="12.28515625" style="1" customWidth="1"/>
    <col min="8998" max="8998" width="9.140625" style="1"/>
    <col min="8999" max="9000" width="12.42578125" style="1" bestFit="1" customWidth="1"/>
    <col min="9001" max="9001" width="7.85546875" style="1" customWidth="1"/>
    <col min="9002" max="9002" width="9.140625" style="1"/>
    <col min="9003" max="9003" width="26.7109375" style="1" customWidth="1"/>
    <col min="9004" max="9004" width="13.5703125" style="1" customWidth="1"/>
    <col min="9005" max="9005" width="25" style="1" customWidth="1"/>
    <col min="9006" max="9006" width="15.85546875" style="1" customWidth="1"/>
    <col min="9007" max="9007" width="14.42578125" style="1" customWidth="1"/>
    <col min="9008" max="9213" width="9.140625" style="1"/>
    <col min="9214" max="9214" width="10.28515625" style="1" customWidth="1"/>
    <col min="9215" max="9215" width="25.7109375" style="1" customWidth="1"/>
    <col min="9216" max="9217" width="18.28515625" style="1" customWidth="1"/>
    <col min="9218" max="9218" width="18" style="1" customWidth="1"/>
    <col min="9219" max="9219" width="18.28515625" style="1" customWidth="1"/>
    <col min="9220" max="9220" width="18.140625" style="1" customWidth="1"/>
    <col min="9221" max="9221" width="11.42578125" style="1" customWidth="1"/>
    <col min="9222" max="9222" width="13.42578125" style="1" customWidth="1"/>
    <col min="9223" max="9223" width="12.5703125" style="1" customWidth="1"/>
    <col min="9224" max="9224" width="17.7109375" style="1" customWidth="1"/>
    <col min="9225" max="9225" width="15.140625" style="1" customWidth="1"/>
    <col min="9226" max="9226" width="17.140625" style="1" customWidth="1"/>
    <col min="9227" max="9227" width="18.140625" style="1" customWidth="1"/>
    <col min="9228" max="9228" width="12.140625" style="1" customWidth="1"/>
    <col min="9229" max="9229" width="14" style="1" customWidth="1"/>
    <col min="9230" max="9230" width="13" style="1" bestFit="1" customWidth="1"/>
    <col min="9231" max="9231" width="8.7109375" style="1" customWidth="1"/>
    <col min="9232" max="9232" width="4.7109375" style="1" customWidth="1"/>
    <col min="9233" max="9233" width="10.5703125" style="1" customWidth="1"/>
    <col min="9234" max="9234" width="13.7109375" style="1" customWidth="1"/>
    <col min="9235" max="9235" width="13.42578125" style="1" customWidth="1"/>
    <col min="9236" max="9236" width="12.140625" style="1" customWidth="1"/>
    <col min="9237" max="9238" width="12.42578125" style="1" customWidth="1"/>
    <col min="9239" max="9239" width="10.7109375" style="1" customWidth="1"/>
    <col min="9240" max="9240" width="11.7109375" style="1" customWidth="1"/>
    <col min="9241" max="9241" width="10.42578125" style="1" customWidth="1"/>
    <col min="9242" max="9242" width="10.7109375" style="1" customWidth="1"/>
    <col min="9243" max="9243" width="13.5703125" style="1" customWidth="1"/>
    <col min="9244" max="9246" width="9.140625" style="1"/>
    <col min="9247" max="9247" width="4.7109375" style="1" customWidth="1"/>
    <col min="9248" max="9248" width="9.140625" style="1"/>
    <col min="9249" max="9249" width="12.42578125" style="1" bestFit="1" customWidth="1"/>
    <col min="9250" max="9250" width="4.42578125" style="1" customWidth="1"/>
    <col min="9251" max="9251" width="31.85546875" style="1" customWidth="1"/>
    <col min="9252" max="9252" width="12.7109375" style="1" customWidth="1"/>
    <col min="9253" max="9253" width="12.28515625" style="1" customWidth="1"/>
    <col min="9254" max="9254" width="9.140625" style="1"/>
    <col min="9255" max="9256" width="12.42578125" style="1" bestFit="1" customWidth="1"/>
    <col min="9257" max="9257" width="7.85546875" style="1" customWidth="1"/>
    <col min="9258" max="9258" width="9.140625" style="1"/>
    <col min="9259" max="9259" width="26.7109375" style="1" customWidth="1"/>
    <col min="9260" max="9260" width="13.5703125" style="1" customWidth="1"/>
    <col min="9261" max="9261" width="25" style="1" customWidth="1"/>
    <col min="9262" max="9262" width="15.85546875" style="1" customWidth="1"/>
    <col min="9263" max="9263" width="14.42578125" style="1" customWidth="1"/>
    <col min="9264" max="9469" width="9.140625" style="1"/>
    <col min="9470" max="9470" width="10.28515625" style="1" customWidth="1"/>
    <col min="9471" max="9471" width="25.7109375" style="1" customWidth="1"/>
    <col min="9472" max="9473" width="18.28515625" style="1" customWidth="1"/>
    <col min="9474" max="9474" width="18" style="1" customWidth="1"/>
    <col min="9475" max="9475" width="18.28515625" style="1" customWidth="1"/>
    <col min="9476" max="9476" width="18.140625" style="1" customWidth="1"/>
    <col min="9477" max="9477" width="11.42578125" style="1" customWidth="1"/>
    <col min="9478" max="9478" width="13.42578125" style="1" customWidth="1"/>
    <col min="9479" max="9479" width="12.5703125" style="1" customWidth="1"/>
    <col min="9480" max="9480" width="17.7109375" style="1" customWidth="1"/>
    <col min="9481" max="9481" width="15.140625" style="1" customWidth="1"/>
    <col min="9482" max="9482" width="17.140625" style="1" customWidth="1"/>
    <col min="9483" max="9483" width="18.140625" style="1" customWidth="1"/>
    <col min="9484" max="9484" width="12.140625" style="1" customWidth="1"/>
    <col min="9485" max="9485" width="14" style="1" customWidth="1"/>
    <col min="9486" max="9486" width="13" style="1" bestFit="1" customWidth="1"/>
    <col min="9487" max="9487" width="8.7109375" style="1" customWidth="1"/>
    <col min="9488" max="9488" width="4.7109375" style="1" customWidth="1"/>
    <col min="9489" max="9489" width="10.5703125" style="1" customWidth="1"/>
    <col min="9490" max="9490" width="13.7109375" style="1" customWidth="1"/>
    <col min="9491" max="9491" width="13.42578125" style="1" customWidth="1"/>
    <col min="9492" max="9492" width="12.140625" style="1" customWidth="1"/>
    <col min="9493" max="9494" width="12.42578125" style="1" customWidth="1"/>
    <col min="9495" max="9495" width="10.7109375" style="1" customWidth="1"/>
    <col min="9496" max="9496" width="11.7109375" style="1" customWidth="1"/>
    <col min="9497" max="9497" width="10.42578125" style="1" customWidth="1"/>
    <col min="9498" max="9498" width="10.7109375" style="1" customWidth="1"/>
    <col min="9499" max="9499" width="13.5703125" style="1" customWidth="1"/>
    <col min="9500" max="9502" width="9.140625" style="1"/>
    <col min="9503" max="9503" width="4.7109375" style="1" customWidth="1"/>
    <col min="9504" max="9504" width="9.140625" style="1"/>
    <col min="9505" max="9505" width="12.42578125" style="1" bestFit="1" customWidth="1"/>
    <col min="9506" max="9506" width="4.42578125" style="1" customWidth="1"/>
    <col min="9507" max="9507" width="31.85546875" style="1" customWidth="1"/>
    <col min="9508" max="9508" width="12.7109375" style="1" customWidth="1"/>
    <col min="9509" max="9509" width="12.28515625" style="1" customWidth="1"/>
    <col min="9510" max="9510" width="9.140625" style="1"/>
    <col min="9511" max="9512" width="12.42578125" style="1" bestFit="1" customWidth="1"/>
    <col min="9513" max="9513" width="7.85546875" style="1" customWidth="1"/>
    <col min="9514" max="9514" width="9.140625" style="1"/>
    <col min="9515" max="9515" width="26.7109375" style="1" customWidth="1"/>
    <col min="9516" max="9516" width="13.5703125" style="1" customWidth="1"/>
    <col min="9517" max="9517" width="25" style="1" customWidth="1"/>
    <col min="9518" max="9518" width="15.85546875" style="1" customWidth="1"/>
    <col min="9519" max="9519" width="14.42578125" style="1" customWidth="1"/>
    <col min="9520" max="9725" width="9.140625" style="1"/>
    <col min="9726" max="9726" width="10.28515625" style="1" customWidth="1"/>
    <col min="9727" max="9727" width="25.7109375" style="1" customWidth="1"/>
    <col min="9728" max="9729" width="18.28515625" style="1" customWidth="1"/>
    <col min="9730" max="9730" width="18" style="1" customWidth="1"/>
    <col min="9731" max="9731" width="18.28515625" style="1" customWidth="1"/>
    <col min="9732" max="9732" width="18.140625" style="1" customWidth="1"/>
    <col min="9733" max="9733" width="11.42578125" style="1" customWidth="1"/>
    <col min="9734" max="9734" width="13.42578125" style="1" customWidth="1"/>
    <col min="9735" max="9735" width="12.5703125" style="1" customWidth="1"/>
    <col min="9736" max="9736" width="17.7109375" style="1" customWidth="1"/>
    <col min="9737" max="9737" width="15.140625" style="1" customWidth="1"/>
    <col min="9738" max="9738" width="17.140625" style="1" customWidth="1"/>
    <col min="9739" max="9739" width="18.140625" style="1" customWidth="1"/>
    <col min="9740" max="9740" width="12.140625" style="1" customWidth="1"/>
    <col min="9741" max="9741" width="14" style="1" customWidth="1"/>
    <col min="9742" max="9742" width="13" style="1" bestFit="1" customWidth="1"/>
    <col min="9743" max="9743" width="8.7109375" style="1" customWidth="1"/>
    <col min="9744" max="9744" width="4.7109375" style="1" customWidth="1"/>
    <col min="9745" max="9745" width="10.5703125" style="1" customWidth="1"/>
    <col min="9746" max="9746" width="13.7109375" style="1" customWidth="1"/>
    <col min="9747" max="9747" width="13.42578125" style="1" customWidth="1"/>
    <col min="9748" max="9748" width="12.140625" style="1" customWidth="1"/>
    <col min="9749" max="9750" width="12.42578125" style="1" customWidth="1"/>
    <col min="9751" max="9751" width="10.7109375" style="1" customWidth="1"/>
    <col min="9752" max="9752" width="11.7109375" style="1" customWidth="1"/>
    <col min="9753" max="9753" width="10.42578125" style="1" customWidth="1"/>
    <col min="9754" max="9754" width="10.7109375" style="1" customWidth="1"/>
    <col min="9755" max="9755" width="13.5703125" style="1" customWidth="1"/>
    <col min="9756" max="9758" width="9.140625" style="1"/>
    <col min="9759" max="9759" width="4.7109375" style="1" customWidth="1"/>
    <col min="9760" max="9760" width="9.140625" style="1"/>
    <col min="9761" max="9761" width="12.42578125" style="1" bestFit="1" customWidth="1"/>
    <col min="9762" max="9762" width="4.42578125" style="1" customWidth="1"/>
    <col min="9763" max="9763" width="31.85546875" style="1" customWidth="1"/>
    <col min="9764" max="9764" width="12.7109375" style="1" customWidth="1"/>
    <col min="9765" max="9765" width="12.28515625" style="1" customWidth="1"/>
    <col min="9766" max="9766" width="9.140625" style="1"/>
    <col min="9767" max="9768" width="12.42578125" style="1" bestFit="1" customWidth="1"/>
    <col min="9769" max="9769" width="7.85546875" style="1" customWidth="1"/>
    <col min="9770" max="9770" width="9.140625" style="1"/>
    <col min="9771" max="9771" width="26.7109375" style="1" customWidth="1"/>
    <col min="9772" max="9772" width="13.5703125" style="1" customWidth="1"/>
    <col min="9773" max="9773" width="25" style="1" customWidth="1"/>
    <col min="9774" max="9774" width="15.85546875" style="1" customWidth="1"/>
    <col min="9775" max="9775" width="14.42578125" style="1" customWidth="1"/>
    <col min="9776" max="9981" width="9.140625" style="1"/>
    <col min="9982" max="9982" width="10.28515625" style="1" customWidth="1"/>
    <col min="9983" max="9983" width="25.7109375" style="1" customWidth="1"/>
    <col min="9984" max="9985" width="18.28515625" style="1" customWidth="1"/>
    <col min="9986" max="9986" width="18" style="1" customWidth="1"/>
    <col min="9987" max="9987" width="18.28515625" style="1" customWidth="1"/>
    <col min="9988" max="9988" width="18.140625" style="1" customWidth="1"/>
    <col min="9989" max="9989" width="11.42578125" style="1" customWidth="1"/>
    <col min="9990" max="9990" width="13.42578125" style="1" customWidth="1"/>
    <col min="9991" max="9991" width="12.5703125" style="1" customWidth="1"/>
    <col min="9992" max="9992" width="17.7109375" style="1" customWidth="1"/>
    <col min="9993" max="9993" width="15.140625" style="1" customWidth="1"/>
    <col min="9994" max="9994" width="17.140625" style="1" customWidth="1"/>
    <col min="9995" max="9995" width="18.140625" style="1" customWidth="1"/>
    <col min="9996" max="9996" width="12.140625" style="1" customWidth="1"/>
    <col min="9997" max="9997" width="14" style="1" customWidth="1"/>
    <col min="9998" max="9998" width="13" style="1" bestFit="1" customWidth="1"/>
    <col min="9999" max="9999" width="8.7109375" style="1" customWidth="1"/>
    <col min="10000" max="10000" width="4.7109375" style="1" customWidth="1"/>
    <col min="10001" max="10001" width="10.5703125" style="1" customWidth="1"/>
    <col min="10002" max="10002" width="13.7109375" style="1" customWidth="1"/>
    <col min="10003" max="10003" width="13.42578125" style="1" customWidth="1"/>
    <col min="10004" max="10004" width="12.140625" style="1" customWidth="1"/>
    <col min="10005" max="10006" width="12.42578125" style="1" customWidth="1"/>
    <col min="10007" max="10007" width="10.7109375" style="1" customWidth="1"/>
    <col min="10008" max="10008" width="11.7109375" style="1" customWidth="1"/>
    <col min="10009" max="10009" width="10.42578125" style="1" customWidth="1"/>
    <col min="10010" max="10010" width="10.7109375" style="1" customWidth="1"/>
    <col min="10011" max="10011" width="13.5703125" style="1" customWidth="1"/>
    <col min="10012" max="10014" width="9.140625" style="1"/>
    <col min="10015" max="10015" width="4.7109375" style="1" customWidth="1"/>
    <col min="10016" max="10016" width="9.140625" style="1"/>
    <col min="10017" max="10017" width="12.42578125" style="1" bestFit="1" customWidth="1"/>
    <col min="10018" max="10018" width="4.42578125" style="1" customWidth="1"/>
    <col min="10019" max="10019" width="31.85546875" style="1" customWidth="1"/>
    <col min="10020" max="10020" width="12.7109375" style="1" customWidth="1"/>
    <col min="10021" max="10021" width="12.28515625" style="1" customWidth="1"/>
    <col min="10022" max="10022" width="9.140625" style="1"/>
    <col min="10023" max="10024" width="12.42578125" style="1" bestFit="1" customWidth="1"/>
    <col min="10025" max="10025" width="7.85546875" style="1" customWidth="1"/>
    <col min="10026" max="10026" width="9.140625" style="1"/>
    <col min="10027" max="10027" width="26.7109375" style="1" customWidth="1"/>
    <col min="10028" max="10028" width="13.5703125" style="1" customWidth="1"/>
    <col min="10029" max="10029" width="25" style="1" customWidth="1"/>
    <col min="10030" max="10030" width="15.85546875" style="1" customWidth="1"/>
    <col min="10031" max="10031" width="14.42578125" style="1" customWidth="1"/>
    <col min="10032" max="10237" width="9.140625" style="1"/>
    <col min="10238" max="10238" width="10.28515625" style="1" customWidth="1"/>
    <col min="10239" max="10239" width="25.7109375" style="1" customWidth="1"/>
    <col min="10240" max="10241" width="18.28515625" style="1" customWidth="1"/>
    <col min="10242" max="10242" width="18" style="1" customWidth="1"/>
    <col min="10243" max="10243" width="18.28515625" style="1" customWidth="1"/>
    <col min="10244" max="10244" width="18.140625" style="1" customWidth="1"/>
    <col min="10245" max="10245" width="11.42578125" style="1" customWidth="1"/>
    <col min="10246" max="10246" width="13.42578125" style="1" customWidth="1"/>
    <col min="10247" max="10247" width="12.5703125" style="1" customWidth="1"/>
    <col min="10248" max="10248" width="17.7109375" style="1" customWidth="1"/>
    <col min="10249" max="10249" width="15.140625" style="1" customWidth="1"/>
    <col min="10250" max="10250" width="17.140625" style="1" customWidth="1"/>
    <col min="10251" max="10251" width="18.140625" style="1" customWidth="1"/>
    <col min="10252" max="10252" width="12.140625" style="1" customWidth="1"/>
    <col min="10253" max="10253" width="14" style="1" customWidth="1"/>
    <col min="10254" max="10254" width="13" style="1" bestFit="1" customWidth="1"/>
    <col min="10255" max="10255" width="8.7109375" style="1" customWidth="1"/>
    <col min="10256" max="10256" width="4.7109375" style="1" customWidth="1"/>
    <col min="10257" max="10257" width="10.5703125" style="1" customWidth="1"/>
    <col min="10258" max="10258" width="13.7109375" style="1" customWidth="1"/>
    <col min="10259" max="10259" width="13.42578125" style="1" customWidth="1"/>
    <col min="10260" max="10260" width="12.140625" style="1" customWidth="1"/>
    <col min="10261" max="10262" width="12.42578125" style="1" customWidth="1"/>
    <col min="10263" max="10263" width="10.7109375" style="1" customWidth="1"/>
    <col min="10264" max="10264" width="11.7109375" style="1" customWidth="1"/>
    <col min="10265" max="10265" width="10.42578125" style="1" customWidth="1"/>
    <col min="10266" max="10266" width="10.7109375" style="1" customWidth="1"/>
    <col min="10267" max="10267" width="13.5703125" style="1" customWidth="1"/>
    <col min="10268" max="10270" width="9.140625" style="1"/>
    <col min="10271" max="10271" width="4.7109375" style="1" customWidth="1"/>
    <col min="10272" max="10272" width="9.140625" style="1"/>
    <col min="10273" max="10273" width="12.42578125" style="1" bestFit="1" customWidth="1"/>
    <col min="10274" max="10274" width="4.42578125" style="1" customWidth="1"/>
    <col min="10275" max="10275" width="31.85546875" style="1" customWidth="1"/>
    <col min="10276" max="10276" width="12.7109375" style="1" customWidth="1"/>
    <col min="10277" max="10277" width="12.28515625" style="1" customWidth="1"/>
    <col min="10278" max="10278" width="9.140625" style="1"/>
    <col min="10279" max="10280" width="12.42578125" style="1" bestFit="1" customWidth="1"/>
    <col min="10281" max="10281" width="7.85546875" style="1" customWidth="1"/>
    <col min="10282" max="10282" width="9.140625" style="1"/>
    <col min="10283" max="10283" width="26.7109375" style="1" customWidth="1"/>
    <col min="10284" max="10284" width="13.5703125" style="1" customWidth="1"/>
    <col min="10285" max="10285" width="25" style="1" customWidth="1"/>
    <col min="10286" max="10286" width="15.85546875" style="1" customWidth="1"/>
    <col min="10287" max="10287" width="14.42578125" style="1" customWidth="1"/>
    <col min="10288" max="10493" width="9.140625" style="1"/>
    <col min="10494" max="10494" width="10.28515625" style="1" customWidth="1"/>
    <col min="10495" max="10495" width="25.7109375" style="1" customWidth="1"/>
    <col min="10496" max="10497" width="18.28515625" style="1" customWidth="1"/>
    <col min="10498" max="10498" width="18" style="1" customWidth="1"/>
    <col min="10499" max="10499" width="18.28515625" style="1" customWidth="1"/>
    <col min="10500" max="10500" width="18.140625" style="1" customWidth="1"/>
    <col min="10501" max="10501" width="11.42578125" style="1" customWidth="1"/>
    <col min="10502" max="10502" width="13.42578125" style="1" customWidth="1"/>
    <col min="10503" max="10503" width="12.5703125" style="1" customWidth="1"/>
    <col min="10504" max="10504" width="17.7109375" style="1" customWidth="1"/>
    <col min="10505" max="10505" width="15.140625" style="1" customWidth="1"/>
    <col min="10506" max="10506" width="17.140625" style="1" customWidth="1"/>
    <col min="10507" max="10507" width="18.140625" style="1" customWidth="1"/>
    <col min="10508" max="10508" width="12.140625" style="1" customWidth="1"/>
    <col min="10509" max="10509" width="14" style="1" customWidth="1"/>
    <col min="10510" max="10510" width="13" style="1" bestFit="1" customWidth="1"/>
    <col min="10511" max="10511" width="8.7109375" style="1" customWidth="1"/>
    <col min="10512" max="10512" width="4.7109375" style="1" customWidth="1"/>
    <col min="10513" max="10513" width="10.5703125" style="1" customWidth="1"/>
    <col min="10514" max="10514" width="13.7109375" style="1" customWidth="1"/>
    <col min="10515" max="10515" width="13.42578125" style="1" customWidth="1"/>
    <col min="10516" max="10516" width="12.140625" style="1" customWidth="1"/>
    <col min="10517" max="10518" width="12.42578125" style="1" customWidth="1"/>
    <col min="10519" max="10519" width="10.7109375" style="1" customWidth="1"/>
    <col min="10520" max="10520" width="11.7109375" style="1" customWidth="1"/>
    <col min="10521" max="10521" width="10.42578125" style="1" customWidth="1"/>
    <col min="10522" max="10522" width="10.7109375" style="1" customWidth="1"/>
    <col min="10523" max="10523" width="13.5703125" style="1" customWidth="1"/>
    <col min="10524" max="10526" width="9.140625" style="1"/>
    <col min="10527" max="10527" width="4.7109375" style="1" customWidth="1"/>
    <col min="10528" max="10528" width="9.140625" style="1"/>
    <col min="10529" max="10529" width="12.42578125" style="1" bestFit="1" customWidth="1"/>
    <col min="10530" max="10530" width="4.42578125" style="1" customWidth="1"/>
    <col min="10531" max="10531" width="31.85546875" style="1" customWidth="1"/>
    <col min="10532" max="10532" width="12.7109375" style="1" customWidth="1"/>
    <col min="10533" max="10533" width="12.28515625" style="1" customWidth="1"/>
    <col min="10534" max="10534" width="9.140625" style="1"/>
    <col min="10535" max="10536" width="12.42578125" style="1" bestFit="1" customWidth="1"/>
    <col min="10537" max="10537" width="7.85546875" style="1" customWidth="1"/>
    <col min="10538" max="10538" width="9.140625" style="1"/>
    <col min="10539" max="10539" width="26.7109375" style="1" customWidth="1"/>
    <col min="10540" max="10540" width="13.5703125" style="1" customWidth="1"/>
    <col min="10541" max="10541" width="25" style="1" customWidth="1"/>
    <col min="10542" max="10542" width="15.85546875" style="1" customWidth="1"/>
    <col min="10543" max="10543" width="14.42578125" style="1" customWidth="1"/>
    <col min="10544" max="10749" width="9.140625" style="1"/>
    <col min="10750" max="10750" width="10.28515625" style="1" customWidth="1"/>
    <col min="10751" max="10751" width="25.7109375" style="1" customWidth="1"/>
    <col min="10752" max="10753" width="18.28515625" style="1" customWidth="1"/>
    <col min="10754" max="10754" width="18" style="1" customWidth="1"/>
    <col min="10755" max="10755" width="18.28515625" style="1" customWidth="1"/>
    <col min="10756" max="10756" width="18.140625" style="1" customWidth="1"/>
    <col min="10757" max="10757" width="11.42578125" style="1" customWidth="1"/>
    <col min="10758" max="10758" width="13.42578125" style="1" customWidth="1"/>
    <col min="10759" max="10759" width="12.5703125" style="1" customWidth="1"/>
    <col min="10760" max="10760" width="17.7109375" style="1" customWidth="1"/>
    <col min="10761" max="10761" width="15.140625" style="1" customWidth="1"/>
    <col min="10762" max="10762" width="17.140625" style="1" customWidth="1"/>
    <col min="10763" max="10763" width="18.140625" style="1" customWidth="1"/>
    <col min="10764" max="10764" width="12.140625" style="1" customWidth="1"/>
    <col min="10765" max="10765" width="14" style="1" customWidth="1"/>
    <col min="10766" max="10766" width="13" style="1" bestFit="1" customWidth="1"/>
    <col min="10767" max="10767" width="8.7109375" style="1" customWidth="1"/>
    <col min="10768" max="10768" width="4.7109375" style="1" customWidth="1"/>
    <col min="10769" max="10769" width="10.5703125" style="1" customWidth="1"/>
    <col min="10770" max="10770" width="13.7109375" style="1" customWidth="1"/>
    <col min="10771" max="10771" width="13.42578125" style="1" customWidth="1"/>
    <col min="10772" max="10772" width="12.140625" style="1" customWidth="1"/>
    <col min="10773" max="10774" width="12.42578125" style="1" customWidth="1"/>
    <col min="10775" max="10775" width="10.7109375" style="1" customWidth="1"/>
    <col min="10776" max="10776" width="11.7109375" style="1" customWidth="1"/>
    <col min="10777" max="10777" width="10.42578125" style="1" customWidth="1"/>
    <col min="10778" max="10778" width="10.7109375" style="1" customWidth="1"/>
    <col min="10779" max="10779" width="13.5703125" style="1" customWidth="1"/>
    <col min="10780" max="10782" width="9.140625" style="1"/>
    <col min="10783" max="10783" width="4.7109375" style="1" customWidth="1"/>
    <col min="10784" max="10784" width="9.140625" style="1"/>
    <col min="10785" max="10785" width="12.42578125" style="1" bestFit="1" customWidth="1"/>
    <col min="10786" max="10786" width="4.42578125" style="1" customWidth="1"/>
    <col min="10787" max="10787" width="31.85546875" style="1" customWidth="1"/>
    <col min="10788" max="10788" width="12.7109375" style="1" customWidth="1"/>
    <col min="10789" max="10789" width="12.28515625" style="1" customWidth="1"/>
    <col min="10790" max="10790" width="9.140625" style="1"/>
    <col min="10791" max="10792" width="12.42578125" style="1" bestFit="1" customWidth="1"/>
    <col min="10793" max="10793" width="7.85546875" style="1" customWidth="1"/>
    <col min="10794" max="10794" width="9.140625" style="1"/>
    <col min="10795" max="10795" width="26.7109375" style="1" customWidth="1"/>
    <col min="10796" max="10796" width="13.5703125" style="1" customWidth="1"/>
    <col min="10797" max="10797" width="25" style="1" customWidth="1"/>
    <col min="10798" max="10798" width="15.85546875" style="1" customWidth="1"/>
    <col min="10799" max="10799" width="14.42578125" style="1" customWidth="1"/>
    <col min="10800" max="11005" width="9.140625" style="1"/>
    <col min="11006" max="11006" width="10.28515625" style="1" customWidth="1"/>
    <col min="11007" max="11007" width="25.7109375" style="1" customWidth="1"/>
    <col min="11008" max="11009" width="18.28515625" style="1" customWidth="1"/>
    <col min="11010" max="11010" width="18" style="1" customWidth="1"/>
    <col min="11011" max="11011" width="18.28515625" style="1" customWidth="1"/>
    <col min="11012" max="11012" width="18.140625" style="1" customWidth="1"/>
    <col min="11013" max="11013" width="11.42578125" style="1" customWidth="1"/>
    <col min="11014" max="11014" width="13.42578125" style="1" customWidth="1"/>
    <col min="11015" max="11015" width="12.5703125" style="1" customWidth="1"/>
    <col min="11016" max="11016" width="17.7109375" style="1" customWidth="1"/>
    <col min="11017" max="11017" width="15.140625" style="1" customWidth="1"/>
    <col min="11018" max="11018" width="17.140625" style="1" customWidth="1"/>
    <col min="11019" max="11019" width="18.140625" style="1" customWidth="1"/>
    <col min="11020" max="11020" width="12.140625" style="1" customWidth="1"/>
    <col min="11021" max="11021" width="14" style="1" customWidth="1"/>
    <col min="11022" max="11022" width="13" style="1" bestFit="1" customWidth="1"/>
    <col min="11023" max="11023" width="8.7109375" style="1" customWidth="1"/>
    <col min="11024" max="11024" width="4.7109375" style="1" customWidth="1"/>
    <col min="11025" max="11025" width="10.5703125" style="1" customWidth="1"/>
    <col min="11026" max="11026" width="13.7109375" style="1" customWidth="1"/>
    <col min="11027" max="11027" width="13.42578125" style="1" customWidth="1"/>
    <col min="11028" max="11028" width="12.140625" style="1" customWidth="1"/>
    <col min="11029" max="11030" width="12.42578125" style="1" customWidth="1"/>
    <col min="11031" max="11031" width="10.7109375" style="1" customWidth="1"/>
    <col min="11032" max="11032" width="11.7109375" style="1" customWidth="1"/>
    <col min="11033" max="11033" width="10.42578125" style="1" customWidth="1"/>
    <col min="11034" max="11034" width="10.7109375" style="1" customWidth="1"/>
    <col min="11035" max="11035" width="13.5703125" style="1" customWidth="1"/>
    <col min="11036" max="11038" width="9.140625" style="1"/>
    <col min="11039" max="11039" width="4.7109375" style="1" customWidth="1"/>
    <col min="11040" max="11040" width="9.140625" style="1"/>
    <col min="11041" max="11041" width="12.42578125" style="1" bestFit="1" customWidth="1"/>
    <col min="11042" max="11042" width="4.42578125" style="1" customWidth="1"/>
    <col min="11043" max="11043" width="31.85546875" style="1" customWidth="1"/>
    <col min="11044" max="11044" width="12.7109375" style="1" customWidth="1"/>
    <col min="11045" max="11045" width="12.28515625" style="1" customWidth="1"/>
    <col min="11046" max="11046" width="9.140625" style="1"/>
    <col min="11047" max="11048" width="12.42578125" style="1" bestFit="1" customWidth="1"/>
    <col min="11049" max="11049" width="7.85546875" style="1" customWidth="1"/>
    <col min="11050" max="11050" width="9.140625" style="1"/>
    <col min="11051" max="11051" width="26.7109375" style="1" customWidth="1"/>
    <col min="11052" max="11052" width="13.5703125" style="1" customWidth="1"/>
    <col min="11053" max="11053" width="25" style="1" customWidth="1"/>
    <col min="11054" max="11054" width="15.85546875" style="1" customWidth="1"/>
    <col min="11055" max="11055" width="14.42578125" style="1" customWidth="1"/>
    <col min="11056" max="11261" width="9.140625" style="1"/>
    <col min="11262" max="11262" width="10.28515625" style="1" customWidth="1"/>
    <col min="11263" max="11263" width="25.7109375" style="1" customWidth="1"/>
    <col min="11264" max="11265" width="18.28515625" style="1" customWidth="1"/>
    <col min="11266" max="11266" width="18" style="1" customWidth="1"/>
    <col min="11267" max="11267" width="18.28515625" style="1" customWidth="1"/>
    <col min="11268" max="11268" width="18.140625" style="1" customWidth="1"/>
    <col min="11269" max="11269" width="11.42578125" style="1" customWidth="1"/>
    <col min="11270" max="11270" width="13.42578125" style="1" customWidth="1"/>
    <col min="11271" max="11271" width="12.5703125" style="1" customWidth="1"/>
    <col min="11272" max="11272" width="17.7109375" style="1" customWidth="1"/>
    <col min="11273" max="11273" width="15.140625" style="1" customWidth="1"/>
    <col min="11274" max="11274" width="17.140625" style="1" customWidth="1"/>
    <col min="11275" max="11275" width="18.140625" style="1" customWidth="1"/>
    <col min="11276" max="11276" width="12.140625" style="1" customWidth="1"/>
    <col min="11277" max="11277" width="14" style="1" customWidth="1"/>
    <col min="11278" max="11278" width="13" style="1" bestFit="1" customWidth="1"/>
    <col min="11279" max="11279" width="8.7109375" style="1" customWidth="1"/>
    <col min="11280" max="11280" width="4.7109375" style="1" customWidth="1"/>
    <col min="11281" max="11281" width="10.5703125" style="1" customWidth="1"/>
    <col min="11282" max="11282" width="13.7109375" style="1" customWidth="1"/>
    <col min="11283" max="11283" width="13.42578125" style="1" customWidth="1"/>
    <col min="11284" max="11284" width="12.140625" style="1" customWidth="1"/>
    <col min="11285" max="11286" width="12.42578125" style="1" customWidth="1"/>
    <col min="11287" max="11287" width="10.7109375" style="1" customWidth="1"/>
    <col min="11288" max="11288" width="11.7109375" style="1" customWidth="1"/>
    <col min="11289" max="11289" width="10.42578125" style="1" customWidth="1"/>
    <col min="11290" max="11290" width="10.7109375" style="1" customWidth="1"/>
    <col min="11291" max="11291" width="13.5703125" style="1" customWidth="1"/>
    <col min="11292" max="11294" width="9.140625" style="1"/>
    <col min="11295" max="11295" width="4.7109375" style="1" customWidth="1"/>
    <col min="11296" max="11296" width="9.140625" style="1"/>
    <col min="11297" max="11297" width="12.42578125" style="1" bestFit="1" customWidth="1"/>
    <col min="11298" max="11298" width="4.42578125" style="1" customWidth="1"/>
    <col min="11299" max="11299" width="31.85546875" style="1" customWidth="1"/>
    <col min="11300" max="11300" width="12.7109375" style="1" customWidth="1"/>
    <col min="11301" max="11301" width="12.28515625" style="1" customWidth="1"/>
    <col min="11302" max="11302" width="9.140625" style="1"/>
    <col min="11303" max="11304" width="12.42578125" style="1" bestFit="1" customWidth="1"/>
    <col min="11305" max="11305" width="7.85546875" style="1" customWidth="1"/>
    <col min="11306" max="11306" width="9.140625" style="1"/>
    <col min="11307" max="11307" width="26.7109375" style="1" customWidth="1"/>
    <col min="11308" max="11308" width="13.5703125" style="1" customWidth="1"/>
    <col min="11309" max="11309" width="25" style="1" customWidth="1"/>
    <col min="11310" max="11310" width="15.85546875" style="1" customWidth="1"/>
    <col min="11311" max="11311" width="14.42578125" style="1" customWidth="1"/>
    <col min="11312" max="11517" width="9.140625" style="1"/>
    <col min="11518" max="11518" width="10.28515625" style="1" customWidth="1"/>
    <col min="11519" max="11519" width="25.7109375" style="1" customWidth="1"/>
    <col min="11520" max="11521" width="18.28515625" style="1" customWidth="1"/>
    <col min="11522" max="11522" width="18" style="1" customWidth="1"/>
    <col min="11523" max="11523" width="18.28515625" style="1" customWidth="1"/>
    <col min="11524" max="11524" width="18.140625" style="1" customWidth="1"/>
    <col min="11525" max="11525" width="11.42578125" style="1" customWidth="1"/>
    <col min="11526" max="11526" width="13.42578125" style="1" customWidth="1"/>
    <col min="11527" max="11527" width="12.5703125" style="1" customWidth="1"/>
    <col min="11528" max="11528" width="17.7109375" style="1" customWidth="1"/>
    <col min="11529" max="11529" width="15.140625" style="1" customWidth="1"/>
    <col min="11530" max="11530" width="17.140625" style="1" customWidth="1"/>
    <col min="11531" max="11531" width="18.140625" style="1" customWidth="1"/>
    <col min="11532" max="11532" width="12.140625" style="1" customWidth="1"/>
    <col min="11533" max="11533" width="14" style="1" customWidth="1"/>
    <col min="11534" max="11534" width="13" style="1" bestFit="1" customWidth="1"/>
    <col min="11535" max="11535" width="8.7109375" style="1" customWidth="1"/>
    <col min="11536" max="11536" width="4.7109375" style="1" customWidth="1"/>
    <col min="11537" max="11537" width="10.5703125" style="1" customWidth="1"/>
    <col min="11538" max="11538" width="13.7109375" style="1" customWidth="1"/>
    <col min="11539" max="11539" width="13.42578125" style="1" customWidth="1"/>
    <col min="11540" max="11540" width="12.140625" style="1" customWidth="1"/>
    <col min="11541" max="11542" width="12.42578125" style="1" customWidth="1"/>
    <col min="11543" max="11543" width="10.7109375" style="1" customWidth="1"/>
    <col min="11544" max="11544" width="11.7109375" style="1" customWidth="1"/>
    <col min="11545" max="11545" width="10.42578125" style="1" customWidth="1"/>
    <col min="11546" max="11546" width="10.7109375" style="1" customWidth="1"/>
    <col min="11547" max="11547" width="13.5703125" style="1" customWidth="1"/>
    <col min="11548" max="11550" width="9.140625" style="1"/>
    <col min="11551" max="11551" width="4.7109375" style="1" customWidth="1"/>
    <col min="11552" max="11552" width="9.140625" style="1"/>
    <col min="11553" max="11553" width="12.42578125" style="1" bestFit="1" customWidth="1"/>
    <col min="11554" max="11554" width="4.42578125" style="1" customWidth="1"/>
    <col min="11555" max="11555" width="31.85546875" style="1" customWidth="1"/>
    <col min="11556" max="11556" width="12.7109375" style="1" customWidth="1"/>
    <col min="11557" max="11557" width="12.28515625" style="1" customWidth="1"/>
    <col min="11558" max="11558" width="9.140625" style="1"/>
    <col min="11559" max="11560" width="12.42578125" style="1" bestFit="1" customWidth="1"/>
    <col min="11561" max="11561" width="7.85546875" style="1" customWidth="1"/>
    <col min="11562" max="11562" width="9.140625" style="1"/>
    <col min="11563" max="11563" width="26.7109375" style="1" customWidth="1"/>
    <col min="11564" max="11564" width="13.5703125" style="1" customWidth="1"/>
    <col min="11565" max="11565" width="25" style="1" customWidth="1"/>
    <col min="11566" max="11566" width="15.85546875" style="1" customWidth="1"/>
    <col min="11567" max="11567" width="14.42578125" style="1" customWidth="1"/>
    <col min="11568" max="11773" width="9.140625" style="1"/>
    <col min="11774" max="11774" width="10.28515625" style="1" customWidth="1"/>
    <col min="11775" max="11775" width="25.7109375" style="1" customWidth="1"/>
    <col min="11776" max="11777" width="18.28515625" style="1" customWidth="1"/>
    <col min="11778" max="11778" width="18" style="1" customWidth="1"/>
    <col min="11779" max="11779" width="18.28515625" style="1" customWidth="1"/>
    <col min="11780" max="11780" width="18.140625" style="1" customWidth="1"/>
    <col min="11781" max="11781" width="11.42578125" style="1" customWidth="1"/>
    <col min="11782" max="11782" width="13.42578125" style="1" customWidth="1"/>
    <col min="11783" max="11783" width="12.5703125" style="1" customWidth="1"/>
    <col min="11784" max="11784" width="17.7109375" style="1" customWidth="1"/>
    <col min="11785" max="11785" width="15.140625" style="1" customWidth="1"/>
    <col min="11786" max="11786" width="17.140625" style="1" customWidth="1"/>
    <col min="11787" max="11787" width="18.140625" style="1" customWidth="1"/>
    <col min="11788" max="11788" width="12.140625" style="1" customWidth="1"/>
    <col min="11789" max="11789" width="14" style="1" customWidth="1"/>
    <col min="11790" max="11790" width="13" style="1" bestFit="1" customWidth="1"/>
    <col min="11791" max="11791" width="8.7109375" style="1" customWidth="1"/>
    <col min="11792" max="11792" width="4.7109375" style="1" customWidth="1"/>
    <col min="11793" max="11793" width="10.5703125" style="1" customWidth="1"/>
    <col min="11794" max="11794" width="13.7109375" style="1" customWidth="1"/>
    <col min="11795" max="11795" width="13.42578125" style="1" customWidth="1"/>
    <col min="11796" max="11796" width="12.140625" style="1" customWidth="1"/>
    <col min="11797" max="11798" width="12.42578125" style="1" customWidth="1"/>
    <col min="11799" max="11799" width="10.7109375" style="1" customWidth="1"/>
    <col min="11800" max="11800" width="11.7109375" style="1" customWidth="1"/>
    <col min="11801" max="11801" width="10.42578125" style="1" customWidth="1"/>
    <col min="11802" max="11802" width="10.7109375" style="1" customWidth="1"/>
    <col min="11803" max="11803" width="13.5703125" style="1" customWidth="1"/>
    <col min="11804" max="11806" width="9.140625" style="1"/>
    <col min="11807" max="11807" width="4.7109375" style="1" customWidth="1"/>
    <col min="11808" max="11808" width="9.140625" style="1"/>
    <col min="11809" max="11809" width="12.42578125" style="1" bestFit="1" customWidth="1"/>
    <col min="11810" max="11810" width="4.42578125" style="1" customWidth="1"/>
    <col min="11811" max="11811" width="31.85546875" style="1" customWidth="1"/>
    <col min="11812" max="11812" width="12.7109375" style="1" customWidth="1"/>
    <col min="11813" max="11813" width="12.28515625" style="1" customWidth="1"/>
    <col min="11814" max="11814" width="9.140625" style="1"/>
    <col min="11815" max="11816" width="12.42578125" style="1" bestFit="1" customWidth="1"/>
    <col min="11817" max="11817" width="7.85546875" style="1" customWidth="1"/>
    <col min="11818" max="11818" width="9.140625" style="1"/>
    <col min="11819" max="11819" width="26.7109375" style="1" customWidth="1"/>
    <col min="11820" max="11820" width="13.5703125" style="1" customWidth="1"/>
    <col min="11821" max="11821" width="25" style="1" customWidth="1"/>
    <col min="11822" max="11822" width="15.85546875" style="1" customWidth="1"/>
    <col min="11823" max="11823" width="14.42578125" style="1" customWidth="1"/>
    <col min="11824" max="12029" width="9.140625" style="1"/>
    <col min="12030" max="12030" width="10.28515625" style="1" customWidth="1"/>
    <col min="12031" max="12031" width="25.7109375" style="1" customWidth="1"/>
    <col min="12032" max="12033" width="18.28515625" style="1" customWidth="1"/>
    <col min="12034" max="12034" width="18" style="1" customWidth="1"/>
    <col min="12035" max="12035" width="18.28515625" style="1" customWidth="1"/>
    <col min="12036" max="12036" width="18.140625" style="1" customWidth="1"/>
    <col min="12037" max="12037" width="11.42578125" style="1" customWidth="1"/>
    <col min="12038" max="12038" width="13.42578125" style="1" customWidth="1"/>
    <col min="12039" max="12039" width="12.5703125" style="1" customWidth="1"/>
    <col min="12040" max="12040" width="17.7109375" style="1" customWidth="1"/>
    <col min="12041" max="12041" width="15.140625" style="1" customWidth="1"/>
    <col min="12042" max="12042" width="17.140625" style="1" customWidth="1"/>
    <col min="12043" max="12043" width="18.140625" style="1" customWidth="1"/>
    <col min="12044" max="12044" width="12.140625" style="1" customWidth="1"/>
    <col min="12045" max="12045" width="14" style="1" customWidth="1"/>
    <col min="12046" max="12046" width="13" style="1" bestFit="1" customWidth="1"/>
    <col min="12047" max="12047" width="8.7109375" style="1" customWidth="1"/>
    <col min="12048" max="12048" width="4.7109375" style="1" customWidth="1"/>
    <col min="12049" max="12049" width="10.5703125" style="1" customWidth="1"/>
    <col min="12050" max="12050" width="13.7109375" style="1" customWidth="1"/>
    <col min="12051" max="12051" width="13.42578125" style="1" customWidth="1"/>
    <col min="12052" max="12052" width="12.140625" style="1" customWidth="1"/>
    <col min="12053" max="12054" width="12.42578125" style="1" customWidth="1"/>
    <col min="12055" max="12055" width="10.7109375" style="1" customWidth="1"/>
    <col min="12056" max="12056" width="11.7109375" style="1" customWidth="1"/>
    <col min="12057" max="12057" width="10.42578125" style="1" customWidth="1"/>
    <col min="12058" max="12058" width="10.7109375" style="1" customWidth="1"/>
    <col min="12059" max="12059" width="13.5703125" style="1" customWidth="1"/>
    <col min="12060" max="12062" width="9.140625" style="1"/>
    <col min="12063" max="12063" width="4.7109375" style="1" customWidth="1"/>
    <col min="12064" max="12064" width="9.140625" style="1"/>
    <col min="12065" max="12065" width="12.42578125" style="1" bestFit="1" customWidth="1"/>
    <col min="12066" max="12066" width="4.42578125" style="1" customWidth="1"/>
    <col min="12067" max="12067" width="31.85546875" style="1" customWidth="1"/>
    <col min="12068" max="12068" width="12.7109375" style="1" customWidth="1"/>
    <col min="12069" max="12069" width="12.28515625" style="1" customWidth="1"/>
    <col min="12070" max="12070" width="9.140625" style="1"/>
    <col min="12071" max="12072" width="12.42578125" style="1" bestFit="1" customWidth="1"/>
    <col min="12073" max="12073" width="7.85546875" style="1" customWidth="1"/>
    <col min="12074" max="12074" width="9.140625" style="1"/>
    <col min="12075" max="12075" width="26.7109375" style="1" customWidth="1"/>
    <col min="12076" max="12076" width="13.5703125" style="1" customWidth="1"/>
    <col min="12077" max="12077" width="25" style="1" customWidth="1"/>
    <col min="12078" max="12078" width="15.85546875" style="1" customWidth="1"/>
    <col min="12079" max="12079" width="14.42578125" style="1" customWidth="1"/>
    <col min="12080" max="12285" width="9.140625" style="1"/>
    <col min="12286" max="12286" width="10.28515625" style="1" customWidth="1"/>
    <col min="12287" max="12287" width="25.7109375" style="1" customWidth="1"/>
    <col min="12288" max="12289" width="18.28515625" style="1" customWidth="1"/>
    <col min="12290" max="12290" width="18" style="1" customWidth="1"/>
    <col min="12291" max="12291" width="18.28515625" style="1" customWidth="1"/>
    <col min="12292" max="12292" width="18.140625" style="1" customWidth="1"/>
    <col min="12293" max="12293" width="11.42578125" style="1" customWidth="1"/>
    <col min="12294" max="12294" width="13.42578125" style="1" customWidth="1"/>
    <col min="12295" max="12295" width="12.5703125" style="1" customWidth="1"/>
    <col min="12296" max="12296" width="17.7109375" style="1" customWidth="1"/>
    <col min="12297" max="12297" width="15.140625" style="1" customWidth="1"/>
    <col min="12298" max="12298" width="17.140625" style="1" customWidth="1"/>
    <col min="12299" max="12299" width="18.140625" style="1" customWidth="1"/>
    <col min="12300" max="12300" width="12.140625" style="1" customWidth="1"/>
    <col min="12301" max="12301" width="14" style="1" customWidth="1"/>
    <col min="12302" max="12302" width="13" style="1" bestFit="1" customWidth="1"/>
    <col min="12303" max="12303" width="8.7109375" style="1" customWidth="1"/>
    <col min="12304" max="12304" width="4.7109375" style="1" customWidth="1"/>
    <col min="12305" max="12305" width="10.5703125" style="1" customWidth="1"/>
    <col min="12306" max="12306" width="13.7109375" style="1" customWidth="1"/>
    <col min="12307" max="12307" width="13.42578125" style="1" customWidth="1"/>
    <col min="12308" max="12308" width="12.140625" style="1" customWidth="1"/>
    <col min="12309" max="12310" width="12.42578125" style="1" customWidth="1"/>
    <col min="12311" max="12311" width="10.7109375" style="1" customWidth="1"/>
    <col min="12312" max="12312" width="11.7109375" style="1" customWidth="1"/>
    <col min="12313" max="12313" width="10.42578125" style="1" customWidth="1"/>
    <col min="12314" max="12314" width="10.7109375" style="1" customWidth="1"/>
    <col min="12315" max="12315" width="13.5703125" style="1" customWidth="1"/>
    <col min="12316" max="12318" width="9.140625" style="1"/>
    <col min="12319" max="12319" width="4.7109375" style="1" customWidth="1"/>
    <col min="12320" max="12320" width="9.140625" style="1"/>
    <col min="12321" max="12321" width="12.42578125" style="1" bestFit="1" customWidth="1"/>
    <col min="12322" max="12322" width="4.42578125" style="1" customWidth="1"/>
    <col min="12323" max="12323" width="31.85546875" style="1" customWidth="1"/>
    <col min="12324" max="12324" width="12.7109375" style="1" customWidth="1"/>
    <col min="12325" max="12325" width="12.28515625" style="1" customWidth="1"/>
    <col min="12326" max="12326" width="9.140625" style="1"/>
    <col min="12327" max="12328" width="12.42578125" style="1" bestFit="1" customWidth="1"/>
    <col min="12329" max="12329" width="7.85546875" style="1" customWidth="1"/>
    <col min="12330" max="12330" width="9.140625" style="1"/>
    <col min="12331" max="12331" width="26.7109375" style="1" customWidth="1"/>
    <col min="12332" max="12332" width="13.5703125" style="1" customWidth="1"/>
    <col min="12333" max="12333" width="25" style="1" customWidth="1"/>
    <col min="12334" max="12334" width="15.85546875" style="1" customWidth="1"/>
    <col min="12335" max="12335" width="14.42578125" style="1" customWidth="1"/>
    <col min="12336" max="12541" width="9.140625" style="1"/>
    <col min="12542" max="12542" width="10.28515625" style="1" customWidth="1"/>
    <col min="12543" max="12543" width="25.7109375" style="1" customWidth="1"/>
    <col min="12544" max="12545" width="18.28515625" style="1" customWidth="1"/>
    <col min="12546" max="12546" width="18" style="1" customWidth="1"/>
    <col min="12547" max="12547" width="18.28515625" style="1" customWidth="1"/>
    <col min="12548" max="12548" width="18.140625" style="1" customWidth="1"/>
    <col min="12549" max="12549" width="11.42578125" style="1" customWidth="1"/>
    <col min="12550" max="12550" width="13.42578125" style="1" customWidth="1"/>
    <col min="12551" max="12551" width="12.5703125" style="1" customWidth="1"/>
    <col min="12552" max="12552" width="17.7109375" style="1" customWidth="1"/>
    <col min="12553" max="12553" width="15.140625" style="1" customWidth="1"/>
    <col min="12554" max="12554" width="17.140625" style="1" customWidth="1"/>
    <col min="12555" max="12555" width="18.140625" style="1" customWidth="1"/>
    <col min="12556" max="12556" width="12.140625" style="1" customWidth="1"/>
    <col min="12557" max="12557" width="14" style="1" customWidth="1"/>
    <col min="12558" max="12558" width="13" style="1" bestFit="1" customWidth="1"/>
    <col min="12559" max="12559" width="8.7109375" style="1" customWidth="1"/>
    <col min="12560" max="12560" width="4.7109375" style="1" customWidth="1"/>
    <col min="12561" max="12561" width="10.5703125" style="1" customWidth="1"/>
    <col min="12562" max="12562" width="13.7109375" style="1" customWidth="1"/>
    <col min="12563" max="12563" width="13.42578125" style="1" customWidth="1"/>
    <col min="12564" max="12564" width="12.140625" style="1" customWidth="1"/>
    <col min="12565" max="12566" width="12.42578125" style="1" customWidth="1"/>
    <col min="12567" max="12567" width="10.7109375" style="1" customWidth="1"/>
    <col min="12568" max="12568" width="11.7109375" style="1" customWidth="1"/>
    <col min="12569" max="12569" width="10.42578125" style="1" customWidth="1"/>
    <col min="12570" max="12570" width="10.7109375" style="1" customWidth="1"/>
    <col min="12571" max="12571" width="13.5703125" style="1" customWidth="1"/>
    <col min="12572" max="12574" width="9.140625" style="1"/>
    <col min="12575" max="12575" width="4.7109375" style="1" customWidth="1"/>
    <col min="12576" max="12576" width="9.140625" style="1"/>
    <col min="12577" max="12577" width="12.42578125" style="1" bestFit="1" customWidth="1"/>
    <col min="12578" max="12578" width="4.42578125" style="1" customWidth="1"/>
    <col min="12579" max="12579" width="31.85546875" style="1" customWidth="1"/>
    <col min="12580" max="12580" width="12.7109375" style="1" customWidth="1"/>
    <col min="12581" max="12581" width="12.28515625" style="1" customWidth="1"/>
    <col min="12582" max="12582" width="9.140625" style="1"/>
    <col min="12583" max="12584" width="12.42578125" style="1" bestFit="1" customWidth="1"/>
    <col min="12585" max="12585" width="7.85546875" style="1" customWidth="1"/>
    <col min="12586" max="12586" width="9.140625" style="1"/>
    <col min="12587" max="12587" width="26.7109375" style="1" customWidth="1"/>
    <col min="12588" max="12588" width="13.5703125" style="1" customWidth="1"/>
    <col min="12589" max="12589" width="25" style="1" customWidth="1"/>
    <col min="12590" max="12590" width="15.85546875" style="1" customWidth="1"/>
    <col min="12591" max="12591" width="14.42578125" style="1" customWidth="1"/>
    <col min="12592" max="12797" width="9.140625" style="1"/>
    <col min="12798" max="12798" width="10.28515625" style="1" customWidth="1"/>
    <col min="12799" max="12799" width="25.7109375" style="1" customWidth="1"/>
    <col min="12800" max="12801" width="18.28515625" style="1" customWidth="1"/>
    <col min="12802" max="12802" width="18" style="1" customWidth="1"/>
    <col min="12803" max="12803" width="18.28515625" style="1" customWidth="1"/>
    <col min="12804" max="12804" width="18.140625" style="1" customWidth="1"/>
    <col min="12805" max="12805" width="11.42578125" style="1" customWidth="1"/>
    <col min="12806" max="12806" width="13.42578125" style="1" customWidth="1"/>
    <col min="12807" max="12807" width="12.5703125" style="1" customWidth="1"/>
    <col min="12808" max="12808" width="17.7109375" style="1" customWidth="1"/>
    <col min="12809" max="12809" width="15.140625" style="1" customWidth="1"/>
    <col min="12810" max="12810" width="17.140625" style="1" customWidth="1"/>
    <col min="12811" max="12811" width="18.140625" style="1" customWidth="1"/>
    <col min="12812" max="12812" width="12.140625" style="1" customWidth="1"/>
    <col min="12813" max="12813" width="14" style="1" customWidth="1"/>
    <col min="12814" max="12814" width="13" style="1" bestFit="1" customWidth="1"/>
    <col min="12815" max="12815" width="8.7109375" style="1" customWidth="1"/>
    <col min="12816" max="12816" width="4.7109375" style="1" customWidth="1"/>
    <col min="12817" max="12817" width="10.5703125" style="1" customWidth="1"/>
    <col min="12818" max="12818" width="13.7109375" style="1" customWidth="1"/>
    <col min="12819" max="12819" width="13.42578125" style="1" customWidth="1"/>
    <col min="12820" max="12820" width="12.140625" style="1" customWidth="1"/>
    <col min="12821" max="12822" width="12.42578125" style="1" customWidth="1"/>
    <col min="12823" max="12823" width="10.7109375" style="1" customWidth="1"/>
    <col min="12824" max="12824" width="11.7109375" style="1" customWidth="1"/>
    <col min="12825" max="12825" width="10.42578125" style="1" customWidth="1"/>
    <col min="12826" max="12826" width="10.7109375" style="1" customWidth="1"/>
    <col min="12827" max="12827" width="13.5703125" style="1" customWidth="1"/>
    <col min="12828" max="12830" width="9.140625" style="1"/>
    <col min="12831" max="12831" width="4.7109375" style="1" customWidth="1"/>
    <col min="12832" max="12832" width="9.140625" style="1"/>
    <col min="12833" max="12833" width="12.42578125" style="1" bestFit="1" customWidth="1"/>
    <col min="12834" max="12834" width="4.42578125" style="1" customWidth="1"/>
    <col min="12835" max="12835" width="31.85546875" style="1" customWidth="1"/>
    <col min="12836" max="12836" width="12.7109375" style="1" customWidth="1"/>
    <col min="12837" max="12837" width="12.28515625" style="1" customWidth="1"/>
    <col min="12838" max="12838" width="9.140625" style="1"/>
    <col min="12839" max="12840" width="12.42578125" style="1" bestFit="1" customWidth="1"/>
    <col min="12841" max="12841" width="7.85546875" style="1" customWidth="1"/>
    <col min="12842" max="12842" width="9.140625" style="1"/>
    <col min="12843" max="12843" width="26.7109375" style="1" customWidth="1"/>
    <col min="12844" max="12844" width="13.5703125" style="1" customWidth="1"/>
    <col min="12845" max="12845" width="25" style="1" customWidth="1"/>
    <col min="12846" max="12846" width="15.85546875" style="1" customWidth="1"/>
    <col min="12847" max="12847" width="14.42578125" style="1" customWidth="1"/>
    <col min="12848" max="13053" width="9.140625" style="1"/>
    <col min="13054" max="13054" width="10.28515625" style="1" customWidth="1"/>
    <col min="13055" max="13055" width="25.7109375" style="1" customWidth="1"/>
    <col min="13056" max="13057" width="18.28515625" style="1" customWidth="1"/>
    <col min="13058" max="13058" width="18" style="1" customWidth="1"/>
    <col min="13059" max="13059" width="18.28515625" style="1" customWidth="1"/>
    <col min="13060" max="13060" width="18.140625" style="1" customWidth="1"/>
    <col min="13061" max="13061" width="11.42578125" style="1" customWidth="1"/>
    <col min="13062" max="13062" width="13.42578125" style="1" customWidth="1"/>
    <col min="13063" max="13063" width="12.5703125" style="1" customWidth="1"/>
    <col min="13064" max="13064" width="17.7109375" style="1" customWidth="1"/>
    <col min="13065" max="13065" width="15.140625" style="1" customWidth="1"/>
    <col min="13066" max="13066" width="17.140625" style="1" customWidth="1"/>
    <col min="13067" max="13067" width="18.140625" style="1" customWidth="1"/>
    <col min="13068" max="13068" width="12.140625" style="1" customWidth="1"/>
    <col min="13069" max="13069" width="14" style="1" customWidth="1"/>
    <col min="13070" max="13070" width="13" style="1" bestFit="1" customWidth="1"/>
    <col min="13071" max="13071" width="8.7109375" style="1" customWidth="1"/>
    <col min="13072" max="13072" width="4.7109375" style="1" customWidth="1"/>
    <col min="13073" max="13073" width="10.5703125" style="1" customWidth="1"/>
    <col min="13074" max="13074" width="13.7109375" style="1" customWidth="1"/>
    <col min="13075" max="13075" width="13.42578125" style="1" customWidth="1"/>
    <col min="13076" max="13076" width="12.140625" style="1" customWidth="1"/>
    <col min="13077" max="13078" width="12.42578125" style="1" customWidth="1"/>
    <col min="13079" max="13079" width="10.7109375" style="1" customWidth="1"/>
    <col min="13080" max="13080" width="11.7109375" style="1" customWidth="1"/>
    <col min="13081" max="13081" width="10.42578125" style="1" customWidth="1"/>
    <col min="13082" max="13082" width="10.7109375" style="1" customWidth="1"/>
    <col min="13083" max="13083" width="13.5703125" style="1" customWidth="1"/>
    <col min="13084" max="13086" width="9.140625" style="1"/>
    <col min="13087" max="13087" width="4.7109375" style="1" customWidth="1"/>
    <col min="13088" max="13088" width="9.140625" style="1"/>
    <col min="13089" max="13089" width="12.42578125" style="1" bestFit="1" customWidth="1"/>
    <col min="13090" max="13090" width="4.42578125" style="1" customWidth="1"/>
    <col min="13091" max="13091" width="31.85546875" style="1" customWidth="1"/>
    <col min="13092" max="13092" width="12.7109375" style="1" customWidth="1"/>
    <col min="13093" max="13093" width="12.28515625" style="1" customWidth="1"/>
    <col min="13094" max="13094" width="9.140625" style="1"/>
    <col min="13095" max="13096" width="12.42578125" style="1" bestFit="1" customWidth="1"/>
    <col min="13097" max="13097" width="7.85546875" style="1" customWidth="1"/>
    <col min="13098" max="13098" width="9.140625" style="1"/>
    <col min="13099" max="13099" width="26.7109375" style="1" customWidth="1"/>
    <col min="13100" max="13100" width="13.5703125" style="1" customWidth="1"/>
    <col min="13101" max="13101" width="25" style="1" customWidth="1"/>
    <col min="13102" max="13102" width="15.85546875" style="1" customWidth="1"/>
    <col min="13103" max="13103" width="14.42578125" style="1" customWidth="1"/>
    <col min="13104" max="13309" width="9.140625" style="1"/>
    <col min="13310" max="13310" width="10.28515625" style="1" customWidth="1"/>
    <col min="13311" max="13311" width="25.7109375" style="1" customWidth="1"/>
    <col min="13312" max="13313" width="18.28515625" style="1" customWidth="1"/>
    <col min="13314" max="13314" width="18" style="1" customWidth="1"/>
    <col min="13315" max="13315" width="18.28515625" style="1" customWidth="1"/>
    <col min="13316" max="13316" width="18.140625" style="1" customWidth="1"/>
    <col min="13317" max="13317" width="11.42578125" style="1" customWidth="1"/>
    <col min="13318" max="13318" width="13.42578125" style="1" customWidth="1"/>
    <col min="13319" max="13319" width="12.5703125" style="1" customWidth="1"/>
    <col min="13320" max="13320" width="17.7109375" style="1" customWidth="1"/>
    <col min="13321" max="13321" width="15.140625" style="1" customWidth="1"/>
    <col min="13322" max="13322" width="17.140625" style="1" customWidth="1"/>
    <col min="13323" max="13323" width="18.140625" style="1" customWidth="1"/>
    <col min="13324" max="13324" width="12.140625" style="1" customWidth="1"/>
    <col min="13325" max="13325" width="14" style="1" customWidth="1"/>
    <col min="13326" max="13326" width="13" style="1" bestFit="1" customWidth="1"/>
    <col min="13327" max="13327" width="8.7109375" style="1" customWidth="1"/>
    <col min="13328" max="13328" width="4.7109375" style="1" customWidth="1"/>
    <col min="13329" max="13329" width="10.5703125" style="1" customWidth="1"/>
    <col min="13330" max="13330" width="13.7109375" style="1" customWidth="1"/>
    <col min="13331" max="13331" width="13.42578125" style="1" customWidth="1"/>
    <col min="13332" max="13332" width="12.140625" style="1" customWidth="1"/>
    <col min="13333" max="13334" width="12.42578125" style="1" customWidth="1"/>
    <col min="13335" max="13335" width="10.7109375" style="1" customWidth="1"/>
    <col min="13336" max="13336" width="11.7109375" style="1" customWidth="1"/>
    <col min="13337" max="13337" width="10.42578125" style="1" customWidth="1"/>
    <col min="13338" max="13338" width="10.7109375" style="1" customWidth="1"/>
    <col min="13339" max="13339" width="13.5703125" style="1" customWidth="1"/>
    <col min="13340" max="13342" width="9.140625" style="1"/>
    <col min="13343" max="13343" width="4.7109375" style="1" customWidth="1"/>
    <col min="13344" max="13344" width="9.140625" style="1"/>
    <col min="13345" max="13345" width="12.42578125" style="1" bestFit="1" customWidth="1"/>
    <col min="13346" max="13346" width="4.42578125" style="1" customWidth="1"/>
    <col min="13347" max="13347" width="31.85546875" style="1" customWidth="1"/>
    <col min="13348" max="13348" width="12.7109375" style="1" customWidth="1"/>
    <col min="13349" max="13349" width="12.28515625" style="1" customWidth="1"/>
    <col min="13350" max="13350" width="9.140625" style="1"/>
    <col min="13351" max="13352" width="12.42578125" style="1" bestFit="1" customWidth="1"/>
    <col min="13353" max="13353" width="7.85546875" style="1" customWidth="1"/>
    <col min="13354" max="13354" width="9.140625" style="1"/>
    <col min="13355" max="13355" width="26.7109375" style="1" customWidth="1"/>
    <col min="13356" max="13356" width="13.5703125" style="1" customWidth="1"/>
    <col min="13357" max="13357" width="25" style="1" customWidth="1"/>
    <col min="13358" max="13358" width="15.85546875" style="1" customWidth="1"/>
    <col min="13359" max="13359" width="14.42578125" style="1" customWidth="1"/>
    <col min="13360" max="13565" width="9.140625" style="1"/>
    <col min="13566" max="13566" width="10.28515625" style="1" customWidth="1"/>
    <col min="13567" max="13567" width="25.7109375" style="1" customWidth="1"/>
    <col min="13568" max="13569" width="18.28515625" style="1" customWidth="1"/>
    <col min="13570" max="13570" width="18" style="1" customWidth="1"/>
    <col min="13571" max="13571" width="18.28515625" style="1" customWidth="1"/>
    <col min="13572" max="13572" width="18.140625" style="1" customWidth="1"/>
    <col min="13573" max="13573" width="11.42578125" style="1" customWidth="1"/>
    <col min="13574" max="13574" width="13.42578125" style="1" customWidth="1"/>
    <col min="13575" max="13575" width="12.5703125" style="1" customWidth="1"/>
    <col min="13576" max="13576" width="17.7109375" style="1" customWidth="1"/>
    <col min="13577" max="13577" width="15.140625" style="1" customWidth="1"/>
    <col min="13578" max="13578" width="17.140625" style="1" customWidth="1"/>
    <col min="13579" max="13579" width="18.140625" style="1" customWidth="1"/>
    <col min="13580" max="13580" width="12.140625" style="1" customWidth="1"/>
    <col min="13581" max="13581" width="14" style="1" customWidth="1"/>
    <col min="13582" max="13582" width="13" style="1" bestFit="1" customWidth="1"/>
    <col min="13583" max="13583" width="8.7109375" style="1" customWidth="1"/>
    <col min="13584" max="13584" width="4.7109375" style="1" customWidth="1"/>
    <col min="13585" max="13585" width="10.5703125" style="1" customWidth="1"/>
    <col min="13586" max="13586" width="13.7109375" style="1" customWidth="1"/>
    <col min="13587" max="13587" width="13.42578125" style="1" customWidth="1"/>
    <col min="13588" max="13588" width="12.140625" style="1" customWidth="1"/>
    <col min="13589" max="13590" width="12.42578125" style="1" customWidth="1"/>
    <col min="13591" max="13591" width="10.7109375" style="1" customWidth="1"/>
    <col min="13592" max="13592" width="11.7109375" style="1" customWidth="1"/>
    <col min="13593" max="13593" width="10.42578125" style="1" customWidth="1"/>
    <col min="13594" max="13594" width="10.7109375" style="1" customWidth="1"/>
    <col min="13595" max="13595" width="13.5703125" style="1" customWidth="1"/>
    <col min="13596" max="13598" width="9.140625" style="1"/>
    <col min="13599" max="13599" width="4.7109375" style="1" customWidth="1"/>
    <col min="13600" max="13600" width="9.140625" style="1"/>
    <col min="13601" max="13601" width="12.42578125" style="1" bestFit="1" customWidth="1"/>
    <col min="13602" max="13602" width="4.42578125" style="1" customWidth="1"/>
    <col min="13603" max="13603" width="31.85546875" style="1" customWidth="1"/>
    <col min="13604" max="13604" width="12.7109375" style="1" customWidth="1"/>
    <col min="13605" max="13605" width="12.28515625" style="1" customWidth="1"/>
    <col min="13606" max="13606" width="9.140625" style="1"/>
    <col min="13607" max="13608" width="12.42578125" style="1" bestFit="1" customWidth="1"/>
    <col min="13609" max="13609" width="7.85546875" style="1" customWidth="1"/>
    <col min="13610" max="13610" width="9.140625" style="1"/>
    <col min="13611" max="13611" width="26.7109375" style="1" customWidth="1"/>
    <col min="13612" max="13612" width="13.5703125" style="1" customWidth="1"/>
    <col min="13613" max="13613" width="25" style="1" customWidth="1"/>
    <col min="13614" max="13614" width="15.85546875" style="1" customWidth="1"/>
    <col min="13615" max="13615" width="14.42578125" style="1" customWidth="1"/>
    <col min="13616" max="13821" width="9.140625" style="1"/>
    <col min="13822" max="13822" width="10.28515625" style="1" customWidth="1"/>
    <col min="13823" max="13823" width="25.7109375" style="1" customWidth="1"/>
    <col min="13824" max="13825" width="18.28515625" style="1" customWidth="1"/>
    <col min="13826" max="13826" width="18" style="1" customWidth="1"/>
    <col min="13827" max="13827" width="18.28515625" style="1" customWidth="1"/>
    <col min="13828" max="13828" width="18.140625" style="1" customWidth="1"/>
    <col min="13829" max="13829" width="11.42578125" style="1" customWidth="1"/>
    <col min="13830" max="13830" width="13.42578125" style="1" customWidth="1"/>
    <col min="13831" max="13831" width="12.5703125" style="1" customWidth="1"/>
    <col min="13832" max="13832" width="17.7109375" style="1" customWidth="1"/>
    <col min="13833" max="13833" width="15.140625" style="1" customWidth="1"/>
    <col min="13834" max="13834" width="17.140625" style="1" customWidth="1"/>
    <col min="13835" max="13835" width="18.140625" style="1" customWidth="1"/>
    <col min="13836" max="13836" width="12.140625" style="1" customWidth="1"/>
    <col min="13837" max="13837" width="14" style="1" customWidth="1"/>
    <col min="13838" max="13838" width="13" style="1" bestFit="1" customWidth="1"/>
    <col min="13839" max="13839" width="8.7109375" style="1" customWidth="1"/>
    <col min="13840" max="13840" width="4.7109375" style="1" customWidth="1"/>
    <col min="13841" max="13841" width="10.5703125" style="1" customWidth="1"/>
    <col min="13842" max="13842" width="13.7109375" style="1" customWidth="1"/>
    <col min="13843" max="13843" width="13.42578125" style="1" customWidth="1"/>
    <col min="13844" max="13844" width="12.140625" style="1" customWidth="1"/>
    <col min="13845" max="13846" width="12.42578125" style="1" customWidth="1"/>
    <col min="13847" max="13847" width="10.7109375" style="1" customWidth="1"/>
    <col min="13848" max="13848" width="11.7109375" style="1" customWidth="1"/>
    <col min="13849" max="13849" width="10.42578125" style="1" customWidth="1"/>
    <col min="13850" max="13850" width="10.7109375" style="1" customWidth="1"/>
    <col min="13851" max="13851" width="13.5703125" style="1" customWidth="1"/>
    <col min="13852" max="13854" width="9.140625" style="1"/>
    <col min="13855" max="13855" width="4.7109375" style="1" customWidth="1"/>
    <col min="13856" max="13856" width="9.140625" style="1"/>
    <col min="13857" max="13857" width="12.42578125" style="1" bestFit="1" customWidth="1"/>
    <col min="13858" max="13858" width="4.42578125" style="1" customWidth="1"/>
    <col min="13859" max="13859" width="31.85546875" style="1" customWidth="1"/>
    <col min="13860" max="13860" width="12.7109375" style="1" customWidth="1"/>
    <col min="13861" max="13861" width="12.28515625" style="1" customWidth="1"/>
    <col min="13862" max="13862" width="9.140625" style="1"/>
    <col min="13863" max="13864" width="12.42578125" style="1" bestFit="1" customWidth="1"/>
    <col min="13865" max="13865" width="7.85546875" style="1" customWidth="1"/>
    <col min="13866" max="13866" width="9.140625" style="1"/>
    <col min="13867" max="13867" width="26.7109375" style="1" customWidth="1"/>
    <col min="13868" max="13868" width="13.5703125" style="1" customWidth="1"/>
    <col min="13869" max="13869" width="25" style="1" customWidth="1"/>
    <col min="13870" max="13870" width="15.85546875" style="1" customWidth="1"/>
    <col min="13871" max="13871" width="14.42578125" style="1" customWidth="1"/>
    <col min="13872" max="14077" width="9.140625" style="1"/>
    <col min="14078" max="14078" width="10.28515625" style="1" customWidth="1"/>
    <col min="14079" max="14079" width="25.7109375" style="1" customWidth="1"/>
    <col min="14080" max="14081" width="18.28515625" style="1" customWidth="1"/>
    <col min="14082" max="14082" width="18" style="1" customWidth="1"/>
    <col min="14083" max="14083" width="18.28515625" style="1" customWidth="1"/>
    <col min="14084" max="14084" width="18.140625" style="1" customWidth="1"/>
    <col min="14085" max="14085" width="11.42578125" style="1" customWidth="1"/>
    <col min="14086" max="14086" width="13.42578125" style="1" customWidth="1"/>
    <col min="14087" max="14087" width="12.5703125" style="1" customWidth="1"/>
    <col min="14088" max="14088" width="17.7109375" style="1" customWidth="1"/>
    <col min="14089" max="14089" width="15.140625" style="1" customWidth="1"/>
    <col min="14090" max="14090" width="17.140625" style="1" customWidth="1"/>
    <col min="14091" max="14091" width="18.140625" style="1" customWidth="1"/>
    <col min="14092" max="14092" width="12.140625" style="1" customWidth="1"/>
    <col min="14093" max="14093" width="14" style="1" customWidth="1"/>
    <col min="14094" max="14094" width="13" style="1" bestFit="1" customWidth="1"/>
    <col min="14095" max="14095" width="8.7109375" style="1" customWidth="1"/>
    <col min="14096" max="14096" width="4.7109375" style="1" customWidth="1"/>
    <col min="14097" max="14097" width="10.5703125" style="1" customWidth="1"/>
    <col min="14098" max="14098" width="13.7109375" style="1" customWidth="1"/>
    <col min="14099" max="14099" width="13.42578125" style="1" customWidth="1"/>
    <col min="14100" max="14100" width="12.140625" style="1" customWidth="1"/>
    <col min="14101" max="14102" width="12.42578125" style="1" customWidth="1"/>
    <col min="14103" max="14103" width="10.7109375" style="1" customWidth="1"/>
    <col min="14104" max="14104" width="11.7109375" style="1" customWidth="1"/>
    <col min="14105" max="14105" width="10.42578125" style="1" customWidth="1"/>
    <col min="14106" max="14106" width="10.7109375" style="1" customWidth="1"/>
    <col min="14107" max="14107" width="13.5703125" style="1" customWidth="1"/>
    <col min="14108" max="14110" width="9.140625" style="1"/>
    <col min="14111" max="14111" width="4.7109375" style="1" customWidth="1"/>
    <col min="14112" max="14112" width="9.140625" style="1"/>
    <col min="14113" max="14113" width="12.42578125" style="1" bestFit="1" customWidth="1"/>
    <col min="14114" max="14114" width="4.42578125" style="1" customWidth="1"/>
    <col min="14115" max="14115" width="31.85546875" style="1" customWidth="1"/>
    <col min="14116" max="14116" width="12.7109375" style="1" customWidth="1"/>
    <col min="14117" max="14117" width="12.28515625" style="1" customWidth="1"/>
    <col min="14118" max="14118" width="9.140625" style="1"/>
    <col min="14119" max="14120" width="12.42578125" style="1" bestFit="1" customWidth="1"/>
    <col min="14121" max="14121" width="7.85546875" style="1" customWidth="1"/>
    <col min="14122" max="14122" width="9.140625" style="1"/>
    <col min="14123" max="14123" width="26.7109375" style="1" customWidth="1"/>
    <col min="14124" max="14124" width="13.5703125" style="1" customWidth="1"/>
    <col min="14125" max="14125" width="25" style="1" customWidth="1"/>
    <col min="14126" max="14126" width="15.85546875" style="1" customWidth="1"/>
    <col min="14127" max="14127" width="14.42578125" style="1" customWidth="1"/>
    <col min="14128" max="14333" width="9.140625" style="1"/>
    <col min="14334" max="14334" width="10.28515625" style="1" customWidth="1"/>
    <col min="14335" max="14335" width="25.7109375" style="1" customWidth="1"/>
    <col min="14336" max="14337" width="18.28515625" style="1" customWidth="1"/>
    <col min="14338" max="14338" width="18" style="1" customWidth="1"/>
    <col min="14339" max="14339" width="18.28515625" style="1" customWidth="1"/>
    <col min="14340" max="14340" width="18.140625" style="1" customWidth="1"/>
    <col min="14341" max="14341" width="11.42578125" style="1" customWidth="1"/>
    <col min="14342" max="14342" width="13.42578125" style="1" customWidth="1"/>
    <col min="14343" max="14343" width="12.5703125" style="1" customWidth="1"/>
    <col min="14344" max="14344" width="17.7109375" style="1" customWidth="1"/>
    <col min="14345" max="14345" width="15.140625" style="1" customWidth="1"/>
    <col min="14346" max="14346" width="17.140625" style="1" customWidth="1"/>
    <col min="14347" max="14347" width="18.140625" style="1" customWidth="1"/>
    <col min="14348" max="14348" width="12.140625" style="1" customWidth="1"/>
    <col min="14349" max="14349" width="14" style="1" customWidth="1"/>
    <col min="14350" max="14350" width="13" style="1" bestFit="1" customWidth="1"/>
    <col min="14351" max="14351" width="8.7109375" style="1" customWidth="1"/>
    <col min="14352" max="14352" width="4.7109375" style="1" customWidth="1"/>
    <col min="14353" max="14353" width="10.5703125" style="1" customWidth="1"/>
    <col min="14354" max="14354" width="13.7109375" style="1" customWidth="1"/>
    <col min="14355" max="14355" width="13.42578125" style="1" customWidth="1"/>
    <col min="14356" max="14356" width="12.140625" style="1" customWidth="1"/>
    <col min="14357" max="14358" width="12.42578125" style="1" customWidth="1"/>
    <col min="14359" max="14359" width="10.7109375" style="1" customWidth="1"/>
    <col min="14360" max="14360" width="11.7109375" style="1" customWidth="1"/>
    <col min="14361" max="14361" width="10.42578125" style="1" customWidth="1"/>
    <col min="14362" max="14362" width="10.7109375" style="1" customWidth="1"/>
    <col min="14363" max="14363" width="13.5703125" style="1" customWidth="1"/>
    <col min="14364" max="14366" width="9.140625" style="1"/>
    <col min="14367" max="14367" width="4.7109375" style="1" customWidth="1"/>
    <col min="14368" max="14368" width="9.140625" style="1"/>
    <col min="14369" max="14369" width="12.42578125" style="1" bestFit="1" customWidth="1"/>
    <col min="14370" max="14370" width="4.42578125" style="1" customWidth="1"/>
    <col min="14371" max="14371" width="31.85546875" style="1" customWidth="1"/>
    <col min="14372" max="14372" width="12.7109375" style="1" customWidth="1"/>
    <col min="14373" max="14373" width="12.28515625" style="1" customWidth="1"/>
    <col min="14374" max="14374" width="9.140625" style="1"/>
    <col min="14375" max="14376" width="12.42578125" style="1" bestFit="1" customWidth="1"/>
    <col min="14377" max="14377" width="7.85546875" style="1" customWidth="1"/>
    <col min="14378" max="14378" width="9.140625" style="1"/>
    <col min="14379" max="14379" width="26.7109375" style="1" customWidth="1"/>
    <col min="14380" max="14380" width="13.5703125" style="1" customWidth="1"/>
    <col min="14381" max="14381" width="25" style="1" customWidth="1"/>
    <col min="14382" max="14382" width="15.85546875" style="1" customWidth="1"/>
    <col min="14383" max="14383" width="14.42578125" style="1" customWidth="1"/>
    <col min="14384" max="14589" width="9.140625" style="1"/>
    <col min="14590" max="14590" width="10.28515625" style="1" customWidth="1"/>
    <col min="14591" max="14591" width="25.7109375" style="1" customWidth="1"/>
    <col min="14592" max="14593" width="18.28515625" style="1" customWidth="1"/>
    <col min="14594" max="14594" width="18" style="1" customWidth="1"/>
    <col min="14595" max="14595" width="18.28515625" style="1" customWidth="1"/>
    <col min="14596" max="14596" width="18.140625" style="1" customWidth="1"/>
    <col min="14597" max="14597" width="11.42578125" style="1" customWidth="1"/>
    <col min="14598" max="14598" width="13.42578125" style="1" customWidth="1"/>
    <col min="14599" max="14599" width="12.5703125" style="1" customWidth="1"/>
    <col min="14600" max="14600" width="17.7109375" style="1" customWidth="1"/>
    <col min="14601" max="14601" width="15.140625" style="1" customWidth="1"/>
    <col min="14602" max="14602" width="17.140625" style="1" customWidth="1"/>
    <col min="14603" max="14603" width="18.140625" style="1" customWidth="1"/>
    <col min="14604" max="14604" width="12.140625" style="1" customWidth="1"/>
    <col min="14605" max="14605" width="14" style="1" customWidth="1"/>
    <col min="14606" max="14606" width="13" style="1" bestFit="1" customWidth="1"/>
    <col min="14607" max="14607" width="8.7109375" style="1" customWidth="1"/>
    <col min="14608" max="14608" width="4.7109375" style="1" customWidth="1"/>
    <col min="14609" max="14609" width="10.5703125" style="1" customWidth="1"/>
    <col min="14610" max="14610" width="13.7109375" style="1" customWidth="1"/>
    <col min="14611" max="14611" width="13.42578125" style="1" customWidth="1"/>
    <col min="14612" max="14612" width="12.140625" style="1" customWidth="1"/>
    <col min="14613" max="14614" width="12.42578125" style="1" customWidth="1"/>
    <col min="14615" max="14615" width="10.7109375" style="1" customWidth="1"/>
    <col min="14616" max="14616" width="11.7109375" style="1" customWidth="1"/>
    <col min="14617" max="14617" width="10.42578125" style="1" customWidth="1"/>
    <col min="14618" max="14618" width="10.7109375" style="1" customWidth="1"/>
    <col min="14619" max="14619" width="13.5703125" style="1" customWidth="1"/>
    <col min="14620" max="14622" width="9.140625" style="1"/>
    <col min="14623" max="14623" width="4.7109375" style="1" customWidth="1"/>
    <col min="14624" max="14624" width="9.140625" style="1"/>
    <col min="14625" max="14625" width="12.42578125" style="1" bestFit="1" customWidth="1"/>
    <col min="14626" max="14626" width="4.42578125" style="1" customWidth="1"/>
    <col min="14627" max="14627" width="31.85546875" style="1" customWidth="1"/>
    <col min="14628" max="14628" width="12.7109375" style="1" customWidth="1"/>
    <col min="14629" max="14629" width="12.28515625" style="1" customWidth="1"/>
    <col min="14630" max="14630" width="9.140625" style="1"/>
    <col min="14631" max="14632" width="12.42578125" style="1" bestFit="1" customWidth="1"/>
    <col min="14633" max="14633" width="7.85546875" style="1" customWidth="1"/>
    <col min="14634" max="14634" width="9.140625" style="1"/>
    <col min="14635" max="14635" width="26.7109375" style="1" customWidth="1"/>
    <col min="14636" max="14636" width="13.5703125" style="1" customWidth="1"/>
    <col min="14637" max="14637" width="25" style="1" customWidth="1"/>
    <col min="14638" max="14638" width="15.85546875" style="1" customWidth="1"/>
    <col min="14639" max="14639" width="14.42578125" style="1" customWidth="1"/>
    <col min="14640" max="14845" width="9.140625" style="1"/>
    <col min="14846" max="14846" width="10.28515625" style="1" customWidth="1"/>
    <col min="14847" max="14847" width="25.7109375" style="1" customWidth="1"/>
    <col min="14848" max="14849" width="18.28515625" style="1" customWidth="1"/>
    <col min="14850" max="14850" width="18" style="1" customWidth="1"/>
    <col min="14851" max="14851" width="18.28515625" style="1" customWidth="1"/>
    <col min="14852" max="14852" width="18.140625" style="1" customWidth="1"/>
    <col min="14853" max="14853" width="11.42578125" style="1" customWidth="1"/>
    <col min="14854" max="14854" width="13.42578125" style="1" customWidth="1"/>
    <col min="14855" max="14855" width="12.5703125" style="1" customWidth="1"/>
    <col min="14856" max="14856" width="17.7109375" style="1" customWidth="1"/>
    <col min="14857" max="14857" width="15.140625" style="1" customWidth="1"/>
    <col min="14858" max="14858" width="17.140625" style="1" customWidth="1"/>
    <col min="14859" max="14859" width="18.140625" style="1" customWidth="1"/>
    <col min="14860" max="14860" width="12.140625" style="1" customWidth="1"/>
    <col min="14861" max="14861" width="14" style="1" customWidth="1"/>
    <col min="14862" max="14862" width="13" style="1" bestFit="1" customWidth="1"/>
    <col min="14863" max="14863" width="8.7109375" style="1" customWidth="1"/>
    <col min="14864" max="14864" width="4.7109375" style="1" customWidth="1"/>
    <col min="14865" max="14865" width="10.5703125" style="1" customWidth="1"/>
    <col min="14866" max="14866" width="13.7109375" style="1" customWidth="1"/>
    <col min="14867" max="14867" width="13.42578125" style="1" customWidth="1"/>
    <col min="14868" max="14868" width="12.140625" style="1" customWidth="1"/>
    <col min="14869" max="14870" width="12.42578125" style="1" customWidth="1"/>
    <col min="14871" max="14871" width="10.7109375" style="1" customWidth="1"/>
    <col min="14872" max="14872" width="11.7109375" style="1" customWidth="1"/>
    <col min="14873" max="14873" width="10.42578125" style="1" customWidth="1"/>
    <col min="14874" max="14874" width="10.7109375" style="1" customWidth="1"/>
    <col min="14875" max="14875" width="13.5703125" style="1" customWidth="1"/>
    <col min="14876" max="14878" width="9.140625" style="1"/>
    <col min="14879" max="14879" width="4.7109375" style="1" customWidth="1"/>
    <col min="14880" max="14880" width="9.140625" style="1"/>
    <col min="14881" max="14881" width="12.42578125" style="1" bestFit="1" customWidth="1"/>
    <col min="14882" max="14882" width="4.42578125" style="1" customWidth="1"/>
    <col min="14883" max="14883" width="31.85546875" style="1" customWidth="1"/>
    <col min="14884" max="14884" width="12.7109375" style="1" customWidth="1"/>
    <col min="14885" max="14885" width="12.28515625" style="1" customWidth="1"/>
    <col min="14886" max="14886" width="9.140625" style="1"/>
    <col min="14887" max="14888" width="12.42578125" style="1" bestFit="1" customWidth="1"/>
    <col min="14889" max="14889" width="7.85546875" style="1" customWidth="1"/>
    <col min="14890" max="14890" width="9.140625" style="1"/>
    <col min="14891" max="14891" width="26.7109375" style="1" customWidth="1"/>
    <col min="14892" max="14892" width="13.5703125" style="1" customWidth="1"/>
    <col min="14893" max="14893" width="25" style="1" customWidth="1"/>
    <col min="14894" max="14894" width="15.85546875" style="1" customWidth="1"/>
    <col min="14895" max="14895" width="14.42578125" style="1" customWidth="1"/>
    <col min="14896" max="15101" width="9.140625" style="1"/>
    <col min="15102" max="15102" width="10.28515625" style="1" customWidth="1"/>
    <col min="15103" max="15103" width="25.7109375" style="1" customWidth="1"/>
    <col min="15104" max="15105" width="18.28515625" style="1" customWidth="1"/>
    <col min="15106" max="15106" width="18" style="1" customWidth="1"/>
    <col min="15107" max="15107" width="18.28515625" style="1" customWidth="1"/>
    <col min="15108" max="15108" width="18.140625" style="1" customWidth="1"/>
    <col min="15109" max="15109" width="11.42578125" style="1" customWidth="1"/>
    <col min="15110" max="15110" width="13.42578125" style="1" customWidth="1"/>
    <col min="15111" max="15111" width="12.5703125" style="1" customWidth="1"/>
    <col min="15112" max="15112" width="17.7109375" style="1" customWidth="1"/>
    <col min="15113" max="15113" width="15.140625" style="1" customWidth="1"/>
    <col min="15114" max="15114" width="17.140625" style="1" customWidth="1"/>
    <col min="15115" max="15115" width="18.140625" style="1" customWidth="1"/>
    <col min="15116" max="15116" width="12.140625" style="1" customWidth="1"/>
    <col min="15117" max="15117" width="14" style="1" customWidth="1"/>
    <col min="15118" max="15118" width="13" style="1" bestFit="1" customWidth="1"/>
    <col min="15119" max="15119" width="8.7109375" style="1" customWidth="1"/>
    <col min="15120" max="15120" width="4.7109375" style="1" customWidth="1"/>
    <col min="15121" max="15121" width="10.5703125" style="1" customWidth="1"/>
    <col min="15122" max="15122" width="13.7109375" style="1" customWidth="1"/>
    <col min="15123" max="15123" width="13.42578125" style="1" customWidth="1"/>
    <col min="15124" max="15124" width="12.140625" style="1" customWidth="1"/>
    <col min="15125" max="15126" width="12.42578125" style="1" customWidth="1"/>
    <col min="15127" max="15127" width="10.7109375" style="1" customWidth="1"/>
    <col min="15128" max="15128" width="11.7109375" style="1" customWidth="1"/>
    <col min="15129" max="15129" width="10.42578125" style="1" customWidth="1"/>
    <col min="15130" max="15130" width="10.7109375" style="1" customWidth="1"/>
    <col min="15131" max="15131" width="13.5703125" style="1" customWidth="1"/>
    <col min="15132" max="15134" width="9.140625" style="1"/>
    <col min="15135" max="15135" width="4.7109375" style="1" customWidth="1"/>
    <col min="15136" max="15136" width="9.140625" style="1"/>
    <col min="15137" max="15137" width="12.42578125" style="1" bestFit="1" customWidth="1"/>
    <col min="15138" max="15138" width="4.42578125" style="1" customWidth="1"/>
    <col min="15139" max="15139" width="31.85546875" style="1" customWidth="1"/>
    <col min="15140" max="15140" width="12.7109375" style="1" customWidth="1"/>
    <col min="15141" max="15141" width="12.28515625" style="1" customWidth="1"/>
    <col min="15142" max="15142" width="9.140625" style="1"/>
    <col min="15143" max="15144" width="12.42578125" style="1" bestFit="1" customWidth="1"/>
    <col min="15145" max="15145" width="7.85546875" style="1" customWidth="1"/>
    <col min="15146" max="15146" width="9.140625" style="1"/>
    <col min="15147" max="15147" width="26.7109375" style="1" customWidth="1"/>
    <col min="15148" max="15148" width="13.5703125" style="1" customWidth="1"/>
    <col min="15149" max="15149" width="25" style="1" customWidth="1"/>
    <col min="15150" max="15150" width="15.85546875" style="1" customWidth="1"/>
    <col min="15151" max="15151" width="14.42578125" style="1" customWidth="1"/>
    <col min="15152" max="15357" width="9.140625" style="1"/>
    <col min="15358" max="15358" width="10.28515625" style="1" customWidth="1"/>
    <col min="15359" max="15359" width="25.7109375" style="1" customWidth="1"/>
    <col min="15360" max="15361" width="18.28515625" style="1" customWidth="1"/>
    <col min="15362" max="15362" width="18" style="1" customWidth="1"/>
    <col min="15363" max="15363" width="18.28515625" style="1" customWidth="1"/>
    <col min="15364" max="15364" width="18.140625" style="1" customWidth="1"/>
    <col min="15365" max="15365" width="11.42578125" style="1" customWidth="1"/>
    <col min="15366" max="15366" width="13.42578125" style="1" customWidth="1"/>
    <col min="15367" max="15367" width="12.5703125" style="1" customWidth="1"/>
    <col min="15368" max="15368" width="17.7109375" style="1" customWidth="1"/>
    <col min="15369" max="15369" width="15.140625" style="1" customWidth="1"/>
    <col min="15370" max="15370" width="17.140625" style="1" customWidth="1"/>
    <col min="15371" max="15371" width="18.140625" style="1" customWidth="1"/>
    <col min="15372" max="15372" width="12.140625" style="1" customWidth="1"/>
    <col min="15373" max="15373" width="14" style="1" customWidth="1"/>
    <col min="15374" max="15374" width="13" style="1" bestFit="1" customWidth="1"/>
    <col min="15375" max="15375" width="8.7109375" style="1" customWidth="1"/>
    <col min="15376" max="15376" width="4.7109375" style="1" customWidth="1"/>
    <col min="15377" max="15377" width="10.5703125" style="1" customWidth="1"/>
    <col min="15378" max="15378" width="13.7109375" style="1" customWidth="1"/>
    <col min="15379" max="15379" width="13.42578125" style="1" customWidth="1"/>
    <col min="15380" max="15380" width="12.140625" style="1" customWidth="1"/>
    <col min="15381" max="15382" width="12.42578125" style="1" customWidth="1"/>
    <col min="15383" max="15383" width="10.7109375" style="1" customWidth="1"/>
    <col min="15384" max="15384" width="11.7109375" style="1" customWidth="1"/>
    <col min="15385" max="15385" width="10.42578125" style="1" customWidth="1"/>
    <col min="15386" max="15386" width="10.7109375" style="1" customWidth="1"/>
    <col min="15387" max="15387" width="13.5703125" style="1" customWidth="1"/>
    <col min="15388" max="15390" width="9.140625" style="1"/>
    <col min="15391" max="15391" width="4.7109375" style="1" customWidth="1"/>
    <col min="15392" max="15392" width="9.140625" style="1"/>
    <col min="15393" max="15393" width="12.42578125" style="1" bestFit="1" customWidth="1"/>
    <col min="15394" max="15394" width="4.42578125" style="1" customWidth="1"/>
    <col min="15395" max="15395" width="31.85546875" style="1" customWidth="1"/>
    <col min="15396" max="15396" width="12.7109375" style="1" customWidth="1"/>
    <col min="15397" max="15397" width="12.28515625" style="1" customWidth="1"/>
    <col min="15398" max="15398" width="9.140625" style="1"/>
    <col min="15399" max="15400" width="12.42578125" style="1" bestFit="1" customWidth="1"/>
    <col min="15401" max="15401" width="7.85546875" style="1" customWidth="1"/>
    <col min="15402" max="15402" width="9.140625" style="1"/>
    <col min="15403" max="15403" width="26.7109375" style="1" customWidth="1"/>
    <col min="15404" max="15404" width="13.5703125" style="1" customWidth="1"/>
    <col min="15405" max="15405" width="25" style="1" customWidth="1"/>
    <col min="15406" max="15406" width="15.85546875" style="1" customWidth="1"/>
    <col min="15407" max="15407" width="14.42578125" style="1" customWidth="1"/>
    <col min="15408" max="15613" width="9.140625" style="1"/>
    <col min="15614" max="15614" width="10.28515625" style="1" customWidth="1"/>
    <col min="15615" max="15615" width="25.7109375" style="1" customWidth="1"/>
    <col min="15616" max="15617" width="18.28515625" style="1" customWidth="1"/>
    <col min="15618" max="15618" width="18" style="1" customWidth="1"/>
    <col min="15619" max="15619" width="18.28515625" style="1" customWidth="1"/>
    <col min="15620" max="15620" width="18.140625" style="1" customWidth="1"/>
    <col min="15621" max="15621" width="11.42578125" style="1" customWidth="1"/>
    <col min="15622" max="15622" width="13.42578125" style="1" customWidth="1"/>
    <col min="15623" max="15623" width="12.5703125" style="1" customWidth="1"/>
    <col min="15624" max="15624" width="17.7109375" style="1" customWidth="1"/>
    <col min="15625" max="15625" width="15.140625" style="1" customWidth="1"/>
    <col min="15626" max="15626" width="17.140625" style="1" customWidth="1"/>
    <col min="15627" max="15627" width="18.140625" style="1" customWidth="1"/>
    <col min="15628" max="15628" width="12.140625" style="1" customWidth="1"/>
    <col min="15629" max="15629" width="14" style="1" customWidth="1"/>
    <col min="15630" max="15630" width="13" style="1" bestFit="1" customWidth="1"/>
    <col min="15631" max="15631" width="8.7109375" style="1" customWidth="1"/>
    <col min="15632" max="15632" width="4.7109375" style="1" customWidth="1"/>
    <col min="15633" max="15633" width="10.5703125" style="1" customWidth="1"/>
    <col min="15634" max="15634" width="13.7109375" style="1" customWidth="1"/>
    <col min="15635" max="15635" width="13.42578125" style="1" customWidth="1"/>
    <col min="15636" max="15636" width="12.140625" style="1" customWidth="1"/>
    <col min="15637" max="15638" width="12.42578125" style="1" customWidth="1"/>
    <col min="15639" max="15639" width="10.7109375" style="1" customWidth="1"/>
    <col min="15640" max="15640" width="11.7109375" style="1" customWidth="1"/>
    <col min="15641" max="15641" width="10.42578125" style="1" customWidth="1"/>
    <col min="15642" max="15642" width="10.7109375" style="1" customWidth="1"/>
    <col min="15643" max="15643" width="13.5703125" style="1" customWidth="1"/>
    <col min="15644" max="15646" width="9.140625" style="1"/>
    <col min="15647" max="15647" width="4.7109375" style="1" customWidth="1"/>
    <col min="15648" max="15648" width="9.140625" style="1"/>
    <col min="15649" max="15649" width="12.42578125" style="1" bestFit="1" customWidth="1"/>
    <col min="15650" max="15650" width="4.42578125" style="1" customWidth="1"/>
    <col min="15651" max="15651" width="31.85546875" style="1" customWidth="1"/>
    <col min="15652" max="15652" width="12.7109375" style="1" customWidth="1"/>
    <col min="15653" max="15653" width="12.28515625" style="1" customWidth="1"/>
    <col min="15654" max="15654" width="9.140625" style="1"/>
    <col min="15655" max="15656" width="12.42578125" style="1" bestFit="1" customWidth="1"/>
    <col min="15657" max="15657" width="7.85546875" style="1" customWidth="1"/>
    <col min="15658" max="15658" width="9.140625" style="1"/>
    <col min="15659" max="15659" width="26.7109375" style="1" customWidth="1"/>
    <col min="15660" max="15660" width="13.5703125" style="1" customWidth="1"/>
    <col min="15661" max="15661" width="25" style="1" customWidth="1"/>
    <col min="15662" max="15662" width="15.85546875" style="1" customWidth="1"/>
    <col min="15663" max="15663" width="14.42578125" style="1" customWidth="1"/>
    <col min="15664" max="15869" width="9.140625" style="1"/>
    <col min="15870" max="15870" width="10.28515625" style="1" customWidth="1"/>
    <col min="15871" max="15871" width="25.7109375" style="1" customWidth="1"/>
    <col min="15872" max="15873" width="18.28515625" style="1" customWidth="1"/>
    <col min="15874" max="15874" width="18" style="1" customWidth="1"/>
    <col min="15875" max="15875" width="18.28515625" style="1" customWidth="1"/>
    <col min="15876" max="15876" width="18.140625" style="1" customWidth="1"/>
    <col min="15877" max="15877" width="11.42578125" style="1" customWidth="1"/>
    <col min="15878" max="15878" width="13.42578125" style="1" customWidth="1"/>
    <col min="15879" max="15879" width="12.5703125" style="1" customWidth="1"/>
    <col min="15880" max="15880" width="17.7109375" style="1" customWidth="1"/>
    <col min="15881" max="15881" width="15.140625" style="1" customWidth="1"/>
    <col min="15882" max="15882" width="17.140625" style="1" customWidth="1"/>
    <col min="15883" max="15883" width="18.140625" style="1" customWidth="1"/>
    <col min="15884" max="15884" width="12.140625" style="1" customWidth="1"/>
    <col min="15885" max="15885" width="14" style="1" customWidth="1"/>
    <col min="15886" max="15886" width="13" style="1" bestFit="1" customWidth="1"/>
    <col min="15887" max="15887" width="8.7109375" style="1" customWidth="1"/>
    <col min="15888" max="15888" width="4.7109375" style="1" customWidth="1"/>
    <col min="15889" max="15889" width="10.5703125" style="1" customWidth="1"/>
    <col min="15890" max="15890" width="13.7109375" style="1" customWidth="1"/>
    <col min="15891" max="15891" width="13.42578125" style="1" customWidth="1"/>
    <col min="15892" max="15892" width="12.140625" style="1" customWidth="1"/>
    <col min="15893" max="15894" width="12.42578125" style="1" customWidth="1"/>
    <col min="15895" max="15895" width="10.7109375" style="1" customWidth="1"/>
    <col min="15896" max="15896" width="11.7109375" style="1" customWidth="1"/>
    <col min="15897" max="15897" width="10.42578125" style="1" customWidth="1"/>
    <col min="15898" max="15898" width="10.7109375" style="1" customWidth="1"/>
    <col min="15899" max="15899" width="13.5703125" style="1" customWidth="1"/>
    <col min="15900" max="15902" width="9.140625" style="1"/>
    <col min="15903" max="15903" width="4.7109375" style="1" customWidth="1"/>
    <col min="15904" max="15904" width="9.140625" style="1"/>
    <col min="15905" max="15905" width="12.42578125" style="1" bestFit="1" customWidth="1"/>
    <col min="15906" max="15906" width="4.42578125" style="1" customWidth="1"/>
    <col min="15907" max="15907" width="31.85546875" style="1" customWidth="1"/>
    <col min="15908" max="15908" width="12.7109375" style="1" customWidth="1"/>
    <col min="15909" max="15909" width="12.28515625" style="1" customWidth="1"/>
    <col min="15910" max="15910" width="9.140625" style="1"/>
    <col min="15911" max="15912" width="12.42578125" style="1" bestFit="1" customWidth="1"/>
    <col min="15913" max="15913" width="7.85546875" style="1" customWidth="1"/>
    <col min="15914" max="15914" width="9.140625" style="1"/>
    <col min="15915" max="15915" width="26.7109375" style="1" customWidth="1"/>
    <col min="15916" max="15916" width="13.5703125" style="1" customWidth="1"/>
    <col min="15917" max="15917" width="25" style="1" customWidth="1"/>
    <col min="15918" max="15918" width="15.85546875" style="1" customWidth="1"/>
    <col min="15919" max="15919" width="14.42578125" style="1" customWidth="1"/>
    <col min="15920" max="16125" width="9.140625" style="1"/>
    <col min="16126" max="16126" width="10.28515625" style="1" customWidth="1"/>
    <col min="16127" max="16127" width="25.7109375" style="1" customWidth="1"/>
    <col min="16128" max="16129" width="18.28515625" style="1" customWidth="1"/>
    <col min="16130" max="16130" width="18" style="1" customWidth="1"/>
    <col min="16131" max="16131" width="18.28515625" style="1" customWidth="1"/>
    <col min="16132" max="16132" width="18.140625" style="1" customWidth="1"/>
    <col min="16133" max="16133" width="11.42578125" style="1" customWidth="1"/>
    <col min="16134" max="16134" width="13.42578125" style="1" customWidth="1"/>
    <col min="16135" max="16135" width="12.5703125" style="1" customWidth="1"/>
    <col min="16136" max="16136" width="17.7109375" style="1" customWidth="1"/>
    <col min="16137" max="16137" width="15.140625" style="1" customWidth="1"/>
    <col min="16138" max="16138" width="17.140625" style="1" customWidth="1"/>
    <col min="16139" max="16139" width="18.140625" style="1" customWidth="1"/>
    <col min="16140" max="16140" width="12.140625" style="1" customWidth="1"/>
    <col min="16141" max="16141" width="14" style="1" customWidth="1"/>
    <col min="16142" max="16142" width="13" style="1" bestFit="1" customWidth="1"/>
    <col min="16143" max="16143" width="8.7109375" style="1" customWidth="1"/>
    <col min="16144" max="16144" width="4.7109375" style="1" customWidth="1"/>
    <col min="16145" max="16145" width="10.5703125" style="1" customWidth="1"/>
    <col min="16146" max="16146" width="13.7109375" style="1" customWidth="1"/>
    <col min="16147" max="16147" width="13.42578125" style="1" customWidth="1"/>
    <col min="16148" max="16148" width="12.140625" style="1" customWidth="1"/>
    <col min="16149" max="16150" width="12.42578125" style="1" customWidth="1"/>
    <col min="16151" max="16151" width="10.7109375" style="1" customWidth="1"/>
    <col min="16152" max="16152" width="11.7109375" style="1" customWidth="1"/>
    <col min="16153" max="16153" width="10.42578125" style="1" customWidth="1"/>
    <col min="16154" max="16154" width="10.7109375" style="1" customWidth="1"/>
    <col min="16155" max="16155" width="13.5703125" style="1" customWidth="1"/>
    <col min="16156" max="16158" width="9.140625" style="1"/>
    <col min="16159" max="16159" width="4.7109375" style="1" customWidth="1"/>
    <col min="16160" max="16160" width="9.140625" style="1"/>
    <col min="16161" max="16161" width="12.42578125" style="1" bestFit="1" customWidth="1"/>
    <col min="16162" max="16162" width="4.42578125" style="1" customWidth="1"/>
    <col min="16163" max="16163" width="31.85546875" style="1" customWidth="1"/>
    <col min="16164" max="16164" width="12.7109375" style="1" customWidth="1"/>
    <col min="16165" max="16165" width="12.28515625" style="1" customWidth="1"/>
    <col min="16166" max="16166" width="9.140625" style="1"/>
    <col min="16167" max="16168" width="12.42578125" style="1" bestFit="1" customWidth="1"/>
    <col min="16169" max="16169" width="7.85546875" style="1" customWidth="1"/>
    <col min="16170" max="16170" width="9.140625" style="1"/>
    <col min="16171" max="16171" width="26.7109375" style="1" customWidth="1"/>
    <col min="16172" max="16172" width="13.5703125" style="1" customWidth="1"/>
    <col min="16173" max="16173" width="25" style="1" customWidth="1"/>
    <col min="16174" max="16174" width="15.85546875" style="1" customWidth="1"/>
    <col min="16175" max="16175" width="14.42578125" style="1" customWidth="1"/>
    <col min="16176" max="16384" width="9.140625" style="1"/>
  </cols>
  <sheetData>
    <row r="1" spans="1:32" ht="24" thickBot="1">
      <c r="A1" s="1702" t="s">
        <v>746</v>
      </c>
      <c r="B1" s="1702"/>
      <c r="C1" s="1702"/>
      <c r="D1" s="1702"/>
      <c r="E1" s="1702"/>
      <c r="F1" s="1702"/>
      <c r="G1" s="1702"/>
      <c r="H1" s="1702"/>
      <c r="I1" s="1702"/>
      <c r="J1" s="1702"/>
      <c r="K1" s="1702"/>
      <c r="L1" s="415"/>
      <c r="M1" s="415"/>
    </row>
    <row r="2" spans="1:32" ht="16.5" thickBot="1">
      <c r="A2" s="416" t="s">
        <v>635</v>
      </c>
      <c r="B2" s="416" t="s">
        <v>636</v>
      </c>
      <c r="C2" s="416" t="s">
        <v>637</v>
      </c>
      <c r="D2" s="416" t="s">
        <v>638</v>
      </c>
      <c r="E2" s="416" t="s">
        <v>639</v>
      </c>
      <c r="F2" s="416" t="s">
        <v>640</v>
      </c>
      <c r="G2" s="416" t="s">
        <v>641</v>
      </c>
      <c r="H2" s="1703" t="s">
        <v>642</v>
      </c>
      <c r="I2" s="1704"/>
      <c r="J2" s="1704"/>
      <c r="K2" s="1705"/>
      <c r="L2" s="431" t="s">
        <v>643</v>
      </c>
      <c r="M2" s="431" t="s">
        <v>644</v>
      </c>
    </row>
    <row r="3" spans="1:32" ht="15" customHeight="1" thickBot="1">
      <c r="A3" s="319"/>
      <c r="B3" s="417"/>
      <c r="C3" s="319"/>
      <c r="D3" s="319"/>
      <c r="E3" s="319"/>
      <c r="F3" s="319"/>
      <c r="G3" s="319"/>
      <c r="K3" s="418"/>
      <c r="L3" s="419" t="s">
        <v>645</v>
      </c>
      <c r="M3" s="420">
        <v>0</v>
      </c>
      <c r="V3" s="1708" t="s">
        <v>679</v>
      </c>
      <c r="W3" s="1709"/>
      <c r="X3" s="1709"/>
      <c r="Y3" s="1709"/>
      <c r="Z3" s="1710"/>
      <c r="AA3" s="497"/>
      <c r="AB3"/>
    </row>
    <row r="4" spans="1:32" ht="15" customHeight="1" thickBot="1">
      <c r="A4" s="319"/>
      <c r="B4" s="417"/>
      <c r="C4" s="319"/>
      <c r="D4" s="319"/>
      <c r="E4" s="319"/>
      <c r="F4" s="319"/>
      <c r="G4" s="319"/>
      <c r="K4" s="421"/>
      <c r="L4" s="419" t="s">
        <v>646</v>
      </c>
      <c r="M4" s="420">
        <v>0</v>
      </c>
      <c r="U4"/>
      <c r="V4" s="503"/>
      <c r="W4" s="20"/>
      <c r="X4" s="504" t="s">
        <v>682</v>
      </c>
      <c r="Y4" s="20"/>
      <c r="Z4" s="199"/>
      <c r="AA4"/>
      <c r="AB4"/>
    </row>
    <row r="5" spans="1:32" ht="15" customHeight="1" thickBot="1">
      <c r="A5" s="319"/>
      <c r="B5" s="417"/>
      <c r="C5" s="319"/>
      <c r="D5" s="319"/>
      <c r="E5" s="319"/>
      <c r="F5" s="319"/>
      <c r="G5" s="319"/>
      <c r="K5" s="421"/>
      <c r="L5" s="419" t="s">
        <v>647</v>
      </c>
      <c r="M5" s="420">
        <v>0</v>
      </c>
      <c r="U5"/>
      <c r="V5" s="505" t="s">
        <v>680</v>
      </c>
      <c r="W5" s="506">
        <v>7.5</v>
      </c>
      <c r="X5" s="20"/>
      <c r="Y5" s="20"/>
      <c r="Z5" s="199"/>
      <c r="AA5"/>
      <c r="AB5"/>
    </row>
    <row r="6" spans="1:32" ht="15" customHeight="1" thickBot="1">
      <c r="A6" s="319"/>
      <c r="B6" s="417"/>
      <c r="C6" s="319"/>
      <c r="D6" s="319"/>
      <c r="E6" s="319"/>
      <c r="F6" s="319"/>
      <c r="G6" s="319"/>
      <c r="K6" s="421"/>
      <c r="L6" s="419" t="s">
        <v>648</v>
      </c>
      <c r="M6" s="420">
        <v>0</v>
      </c>
      <c r="U6"/>
      <c r="V6" s="507"/>
      <c r="W6" s="508" t="s">
        <v>681</v>
      </c>
      <c r="X6" s="509" t="s">
        <v>687</v>
      </c>
      <c r="Y6" s="20"/>
      <c r="Z6" s="199"/>
      <c r="AA6"/>
      <c r="AB6"/>
    </row>
    <row r="7" spans="1:32" ht="15" customHeight="1" thickBot="1">
      <c r="A7" s="319"/>
      <c r="B7" s="417"/>
      <c r="C7" s="319"/>
      <c r="D7" s="319"/>
      <c r="E7" s="319"/>
      <c r="F7" s="319"/>
      <c r="G7" s="319"/>
      <c r="K7" s="421"/>
      <c r="L7" s="419" t="s">
        <v>649</v>
      </c>
      <c r="M7" s="420">
        <v>0</v>
      </c>
      <c r="U7"/>
      <c r="V7" s="510" t="s">
        <v>685</v>
      </c>
      <c r="W7" s="511"/>
      <c r="X7" s="512" t="s">
        <v>686</v>
      </c>
      <c r="Y7" s="516">
        <v>80</v>
      </c>
      <c r="Z7" s="199" t="s">
        <v>683</v>
      </c>
      <c r="AB7"/>
    </row>
    <row r="8" spans="1:32" ht="15" customHeight="1" thickBot="1">
      <c r="A8" s="319"/>
      <c r="B8" s="417"/>
      <c r="C8" s="319"/>
      <c r="D8" s="319"/>
      <c r="E8" s="319"/>
      <c r="F8" s="319"/>
      <c r="G8" s="319"/>
      <c r="K8" s="421"/>
      <c r="L8" s="419" t="s">
        <v>650</v>
      </c>
      <c r="M8" s="422">
        <v>0</v>
      </c>
      <c r="U8"/>
      <c r="V8" s="513" t="s">
        <v>684</v>
      </c>
      <c r="W8" s="514">
        <f>0.812*10^(0.87*W5-5)</f>
        <v>27.199193659615638</v>
      </c>
      <c r="X8" s="1706" t="str">
        <f>IF(Y7&lt;W8,"Sıvılaşma Potansiyeli Mevcut","Sıvılaşma Potansiyeli Yok")</f>
        <v>Sıvılaşma Potansiyeli Yok</v>
      </c>
      <c r="Y8" s="1707"/>
      <c r="Z8" s="515"/>
      <c r="AA8"/>
      <c r="AB8"/>
    </row>
    <row r="9" spans="1:32" ht="15" customHeight="1" thickBot="1">
      <c r="A9" s="319"/>
      <c r="B9" s="417"/>
      <c r="C9" s="319"/>
      <c r="D9" s="319"/>
      <c r="E9" s="319"/>
      <c r="F9" s="319"/>
      <c r="G9" s="319"/>
      <c r="K9" s="421"/>
      <c r="L9" s="423" t="s">
        <v>651</v>
      </c>
      <c r="M9" s="422">
        <v>0</v>
      </c>
      <c r="U9"/>
      <c r="V9" s="201"/>
      <c r="W9" s="202"/>
      <c r="X9" s="202"/>
      <c r="Y9" s="202"/>
      <c r="Z9" s="203"/>
      <c r="AA9"/>
      <c r="AB9"/>
    </row>
    <row r="10" spans="1:32" ht="15" customHeight="1" thickBot="1">
      <c r="A10" s="319"/>
      <c r="B10" s="417"/>
      <c r="C10" s="319"/>
      <c r="D10" s="319"/>
      <c r="E10" s="319"/>
      <c r="F10" s="319"/>
      <c r="G10" s="319"/>
      <c r="K10" s="421"/>
      <c r="L10" s="419" t="s">
        <v>652</v>
      </c>
      <c r="M10" s="424">
        <f>MAX(G3:G212)</f>
        <v>0</v>
      </c>
      <c r="V10" s="517">
        <f>W5</f>
        <v>7.5</v>
      </c>
      <c r="W10" s="518" t="s">
        <v>689</v>
      </c>
      <c r="X10" s="518"/>
      <c r="Y10" s="518"/>
      <c r="Z10" s="518"/>
      <c r="AA10" s="498"/>
    </row>
    <row r="11" spans="1:32" ht="15" customHeight="1">
      <c r="A11" s="319"/>
      <c r="B11" s="417"/>
      <c r="C11" s="319"/>
      <c r="D11" s="319"/>
      <c r="E11" s="319"/>
      <c r="F11" s="319"/>
      <c r="G11" s="319"/>
      <c r="K11" s="421"/>
      <c r="L11" s="3"/>
      <c r="M11" s="3"/>
      <c r="V11" s="519" t="s">
        <v>690</v>
      </c>
      <c r="W11" s="3"/>
      <c r="X11" s="520">
        <f>W8</f>
        <v>27.199193659615638</v>
      </c>
      <c r="Y11" s="519" t="s">
        <v>688</v>
      </c>
      <c r="Z11" s="3"/>
    </row>
    <row r="12" spans="1:32">
      <c r="A12" s="319"/>
      <c r="B12" s="417"/>
      <c r="C12" s="319"/>
      <c r="D12" s="319"/>
      <c r="E12" s="319"/>
      <c r="F12" s="319"/>
      <c r="G12" s="319"/>
      <c r="K12" s="421"/>
      <c r="L12" s="445" t="s">
        <v>653</v>
      </c>
      <c r="M12" s="446" t="s">
        <v>654</v>
      </c>
      <c r="V12" s="3"/>
      <c r="W12" s="3"/>
      <c r="X12" s="3"/>
      <c r="Y12" s="3"/>
      <c r="Z12" s="3"/>
    </row>
    <row r="13" spans="1:32" ht="15.75" customHeight="1">
      <c r="A13" s="319"/>
      <c r="B13" s="417"/>
      <c r="C13" s="319"/>
      <c r="D13" s="319"/>
      <c r="E13" s="319"/>
      <c r="F13" s="319"/>
      <c r="G13" s="319"/>
      <c r="K13" s="421"/>
      <c r="L13" s="447">
        <v>1900</v>
      </c>
      <c r="M13" s="448">
        <f>COUNTIFS(B1:B498,"&gt;=1/1/1900",B1:B498,"&lt;=31/12/1900")</f>
        <v>0</v>
      </c>
      <c r="N13" s="425"/>
      <c r="O13" s="425"/>
      <c r="P13" s="425"/>
      <c r="Q13" s="425"/>
      <c r="R13" s="426"/>
    </row>
    <row r="14" spans="1:32">
      <c r="A14" s="319"/>
      <c r="B14" s="417"/>
      <c r="C14" s="319"/>
      <c r="D14" s="319"/>
      <c r="E14" s="319"/>
      <c r="F14" s="319"/>
      <c r="G14" s="319"/>
      <c r="K14" s="421"/>
      <c r="L14" s="447">
        <v>1901</v>
      </c>
      <c r="M14" s="448">
        <f>COUNTIFS(B1:B498,"&gt;=1/1/1901",B1:B498,"&lt;=31/12/1901")</f>
        <v>0</v>
      </c>
      <c r="V14"/>
      <c r="W14"/>
      <c r="X14"/>
      <c r="Y14"/>
      <c r="Z14"/>
      <c r="AA14"/>
      <c r="AB14"/>
      <c r="AC14"/>
      <c r="AD14"/>
      <c r="AE14"/>
      <c r="AF14"/>
    </row>
    <row r="15" spans="1:32" ht="15" customHeight="1">
      <c r="A15" s="319"/>
      <c r="B15" s="417"/>
      <c r="C15" s="319"/>
      <c r="D15" s="319"/>
      <c r="E15" s="319"/>
      <c r="F15" s="319"/>
      <c r="G15" s="319"/>
      <c r="K15" s="421"/>
      <c r="L15" s="447">
        <v>1902</v>
      </c>
      <c r="M15" s="448">
        <f>COUNTIFS(B1:B498,"&gt;=1/1/1902",B1:B498,"&lt;=31/12/1902")</f>
        <v>0</v>
      </c>
      <c r="V15" s="1713"/>
      <c r="W15" s="1713"/>
      <c r="X15" s="1713"/>
      <c r="Y15" s="1713"/>
      <c r="Z15" s="1713"/>
      <c r="AA15" s="1713"/>
      <c r="AB15"/>
      <c r="AC15"/>
      <c r="AD15"/>
      <c r="AE15"/>
      <c r="AF15"/>
    </row>
    <row r="16" spans="1:32" ht="15" customHeight="1">
      <c r="A16" s="319"/>
      <c r="B16" s="417"/>
      <c r="C16" s="319"/>
      <c r="D16" s="319"/>
      <c r="E16" s="319"/>
      <c r="F16" s="319"/>
      <c r="G16" s="319"/>
      <c r="K16" s="421"/>
      <c r="L16" s="447">
        <v>1903</v>
      </c>
      <c r="M16" s="448">
        <f>COUNTIFS(B1:B498,"&gt;=1/1/1903",B1:B498,"&lt;=31/12/1903")</f>
        <v>0</v>
      </c>
      <c r="O16" s="430"/>
      <c r="V16" s="3"/>
      <c r="W16" s="3"/>
      <c r="X16" s="3"/>
      <c r="Y16" s="3"/>
      <c r="Z16" s="3"/>
      <c r="AA16" s="3"/>
      <c r="AB16"/>
      <c r="AC16"/>
      <c r="AD16"/>
      <c r="AE16"/>
      <c r="AF16"/>
    </row>
    <row r="17" spans="1:32" ht="15" customHeight="1">
      <c r="A17" s="319"/>
      <c r="B17" s="417"/>
      <c r="C17" s="319"/>
      <c r="D17" s="319"/>
      <c r="E17" s="319"/>
      <c r="F17" s="319"/>
      <c r="G17" s="319"/>
      <c r="K17" s="421"/>
      <c r="L17" s="447">
        <v>1904</v>
      </c>
      <c r="M17" s="448">
        <f>COUNTIFS(B1:B498,"&gt;=1/1/1904",B1:B498,"&lt;=31/12/1904")</f>
        <v>0</v>
      </c>
      <c r="V17" s="697"/>
      <c r="W17" s="698"/>
      <c r="X17" s="3"/>
      <c r="Y17" s="519"/>
      <c r="Z17" s="519"/>
      <c r="AA17" s="519"/>
      <c r="AB17" s="370"/>
      <c r="AC17" s="370"/>
      <c r="AD17" s="370"/>
      <c r="AE17"/>
      <c r="AF17"/>
    </row>
    <row r="18" spans="1:32" ht="15" customHeight="1">
      <c r="A18" s="319"/>
      <c r="B18" s="417"/>
      <c r="C18" s="319"/>
      <c r="D18" s="319"/>
      <c r="E18" s="319"/>
      <c r="F18" s="319"/>
      <c r="G18" s="319"/>
      <c r="K18" s="421"/>
      <c r="L18" s="447">
        <v>1905</v>
      </c>
      <c r="M18" s="448">
        <f>COUNTIFS(B1:B498,"&gt;=1/1/1905",B1:B498,"&lt;=31/12/1905")</f>
        <v>0</v>
      </c>
      <c r="V18" s="3"/>
      <c r="W18" s="699"/>
      <c r="X18" s="700"/>
      <c r="Y18" s="3"/>
      <c r="Z18" s="3"/>
      <c r="AA18" s="3"/>
      <c r="AB18"/>
      <c r="AC18"/>
      <c r="AD18"/>
      <c r="AE18"/>
      <c r="AF18"/>
    </row>
    <row r="19" spans="1:32" ht="15" customHeight="1">
      <c r="A19" s="319"/>
      <c r="B19" s="417"/>
      <c r="C19" s="319"/>
      <c r="D19" s="319"/>
      <c r="E19" s="319"/>
      <c r="F19" s="319"/>
      <c r="G19" s="319"/>
      <c r="K19" s="421"/>
      <c r="L19" s="447">
        <v>1906</v>
      </c>
      <c r="M19" s="448">
        <f>COUNTIFS(B1:B498,"&gt;=1/1/1906",B1:B498,"&lt;=31/12/1906")</f>
        <v>0</v>
      </c>
      <c r="V19" s="3"/>
      <c r="W19" s="3"/>
      <c r="X19" s="521"/>
      <c r="Y19" s="701" t="s">
        <v>806</v>
      </c>
      <c r="Z19" s="521"/>
      <c r="AA19" s="521"/>
      <c r="AC19"/>
      <c r="AD19"/>
      <c r="AE19"/>
      <c r="AF19"/>
    </row>
    <row r="20" spans="1:32">
      <c r="A20" s="319"/>
      <c r="B20" s="417"/>
      <c r="C20" s="319"/>
      <c r="D20" s="319"/>
      <c r="E20" s="319"/>
      <c r="F20" s="319"/>
      <c r="G20" s="319"/>
      <c r="K20" s="421"/>
      <c r="L20" s="447">
        <v>1907</v>
      </c>
      <c r="M20" s="448">
        <f>COUNTIFS(B1:B498,"&gt;=1/1/1907",B1:B498,"&lt;=31/12/1907")</f>
        <v>0</v>
      </c>
      <c r="V20" s="3"/>
      <c r="W20" s="3"/>
      <c r="X20" s="3"/>
      <c r="Y20" s="3"/>
      <c r="Z20" s="3"/>
      <c r="AA20" s="3"/>
      <c r="AB20"/>
      <c r="AC20"/>
      <c r="AD20"/>
      <c r="AE20"/>
      <c r="AF20"/>
    </row>
    <row r="21" spans="1:32">
      <c r="A21" s="319"/>
      <c r="B21" s="417"/>
      <c r="C21" s="319"/>
      <c r="D21" s="319"/>
      <c r="E21" s="319"/>
      <c r="F21" s="319"/>
      <c r="G21" s="319"/>
      <c r="K21" s="421"/>
      <c r="L21" s="447">
        <v>1908</v>
      </c>
      <c r="M21" s="448">
        <f>COUNTIFS(B1:B498,"&gt;=1/1/1908",B1:B498,"&lt;=31/12/1908")</f>
        <v>0</v>
      </c>
      <c r="V21" s="66"/>
      <c r="W21" s="1395"/>
      <c r="X21" s="1395"/>
      <c r="Y21" s="1395"/>
      <c r="Z21" s="1395"/>
      <c r="AA21" s="66"/>
      <c r="AB21" s="496"/>
      <c r="AC21"/>
      <c r="AD21"/>
      <c r="AE21"/>
      <c r="AF21"/>
    </row>
    <row r="22" spans="1:32">
      <c r="A22" s="319"/>
      <c r="B22" s="417"/>
      <c r="C22" s="319"/>
      <c r="D22" s="319"/>
      <c r="E22" s="319"/>
      <c r="F22" s="319"/>
      <c r="G22" s="319"/>
      <c r="K22" s="421"/>
      <c r="L22" s="447">
        <v>1909</v>
      </c>
      <c r="M22" s="448">
        <f>COUNTIFS(B1:B498,"&gt;=1/1/1909",B1:B498,"&lt;=31/12/1909")</f>
        <v>0</v>
      </c>
      <c r="V22" s="3"/>
      <c r="W22" s="984"/>
      <c r="X22" s="984"/>
      <c r="Y22" s="48"/>
      <c r="Z22" s="3"/>
      <c r="AA22" s="3"/>
      <c r="AB22"/>
      <c r="AC22"/>
      <c r="AD22"/>
      <c r="AE22"/>
      <c r="AF22"/>
    </row>
    <row r="23" spans="1:32">
      <c r="A23" s="319"/>
      <c r="B23" s="417"/>
      <c r="C23" s="319"/>
      <c r="D23" s="319"/>
      <c r="E23" s="319"/>
      <c r="F23" s="319"/>
      <c r="G23" s="319"/>
      <c r="K23" s="421"/>
      <c r="L23" s="447">
        <v>1910</v>
      </c>
      <c r="M23" s="448">
        <f>COUNTIFS(B1:B498,"&gt;=1/1/1910",B1:B498,"&lt;=31/12/1910")</f>
        <v>0</v>
      </c>
      <c r="V23" s="3"/>
      <c r="W23" s="519"/>
      <c r="X23" s="3"/>
      <c r="Y23" s="3"/>
      <c r="Z23" s="3"/>
      <c r="AA23" s="3"/>
      <c r="AB23"/>
      <c r="AC23"/>
      <c r="AD23"/>
      <c r="AE23"/>
      <c r="AF23"/>
    </row>
    <row r="24" spans="1:32">
      <c r="A24" s="319"/>
      <c r="B24" s="417"/>
      <c r="C24" s="319"/>
      <c r="D24" s="319"/>
      <c r="E24" s="319"/>
      <c r="F24" s="319"/>
      <c r="G24" s="319"/>
      <c r="K24" s="421"/>
      <c r="L24" s="447">
        <v>1911</v>
      </c>
      <c r="M24" s="448">
        <f>COUNTIFS(B1:B498,"&gt;=1/1/1911",B1:B498,"&lt;=31/12/1911")</f>
        <v>0</v>
      </c>
      <c r="V24" s="3"/>
      <c r="W24" s="519"/>
      <c r="X24" s="3"/>
      <c r="Y24" s="3"/>
      <c r="Z24" s="3"/>
      <c r="AA24" s="3"/>
      <c r="AB24"/>
      <c r="AC24"/>
      <c r="AD24"/>
      <c r="AE24"/>
      <c r="AF24"/>
    </row>
    <row r="25" spans="1:32">
      <c r="A25" s="319"/>
      <c r="B25" s="417"/>
      <c r="C25" s="319"/>
      <c r="D25" s="319"/>
      <c r="E25" s="319"/>
      <c r="F25" s="319"/>
      <c r="G25" s="319"/>
      <c r="K25" s="421"/>
      <c r="L25" s="447">
        <v>1912</v>
      </c>
      <c r="M25" s="448">
        <f>COUNTIFS(B1:B498,"&gt;=1/1/1912",B1:B498,"&lt;=31/12/1912")</f>
        <v>0</v>
      </c>
      <c r="V25" s="3"/>
      <c r="W25" s="519"/>
      <c r="X25" s="3"/>
      <c r="Y25" s="3"/>
      <c r="Z25" s="3"/>
      <c r="AA25" s="3"/>
      <c r="AB25"/>
      <c r="AC25"/>
      <c r="AD25"/>
      <c r="AE25"/>
      <c r="AF25"/>
    </row>
    <row r="26" spans="1:32" ht="15.75">
      <c r="A26" s="319"/>
      <c r="B26" s="417"/>
      <c r="C26" s="319"/>
      <c r="D26" s="319"/>
      <c r="E26" s="319"/>
      <c r="F26" s="319"/>
      <c r="G26" s="319"/>
      <c r="K26" s="421"/>
      <c r="L26" s="447">
        <v>1913</v>
      </c>
      <c r="M26" s="448">
        <f>COUNTIFS(B1:B400,"&gt;=1/1/1913",B1:B400,"&lt;=31/12/1913")</f>
        <v>0</v>
      </c>
      <c r="V26" s="519"/>
      <c r="W26" s="3"/>
      <c r="X26" s="3"/>
      <c r="Y26" s="3"/>
      <c r="Z26" s="702"/>
      <c r="AA26" s="702"/>
      <c r="AB26" s="502"/>
      <c r="AD26" s="500"/>
      <c r="AE26" s="500"/>
      <c r="AF26"/>
    </row>
    <row r="27" spans="1:32" ht="15.75">
      <c r="A27" s="319"/>
      <c r="B27" s="417"/>
      <c r="C27" s="319"/>
      <c r="D27" s="319"/>
      <c r="E27" s="319"/>
      <c r="F27" s="319"/>
      <c r="G27" s="319"/>
      <c r="K27" s="421"/>
      <c r="L27" s="447">
        <v>1914</v>
      </c>
      <c r="M27" s="448">
        <f>COUNTIFS(B1:B401,"&gt;=1/1/1914",B1:B401,"&lt;=31/12/1914")</f>
        <v>0</v>
      </c>
      <c r="V27" s="519"/>
      <c r="W27" s="3"/>
      <c r="X27" s="3"/>
      <c r="Y27" s="3"/>
      <c r="Z27" s="702"/>
      <c r="AA27" s="702"/>
      <c r="AB27" s="502"/>
      <c r="AD27" s="500"/>
      <c r="AE27" s="500"/>
      <c r="AF27"/>
    </row>
    <row r="28" spans="1:32">
      <c r="A28" s="319"/>
      <c r="B28" s="417"/>
      <c r="C28" s="319"/>
      <c r="D28" s="319"/>
      <c r="E28" s="319"/>
      <c r="F28" s="319"/>
      <c r="G28" s="319"/>
      <c r="K28" s="421"/>
      <c r="L28" s="447">
        <v>1915</v>
      </c>
      <c r="M28" s="448">
        <f>COUNTIFS(B1:B402,"&gt;=1/1/1915",B1:B402,"&lt;=31/12/1915")</f>
        <v>0</v>
      </c>
      <c r="V28" s="519"/>
      <c r="W28" s="703"/>
      <c r="X28" s="3"/>
      <c r="Y28" s="3"/>
      <c r="Z28" s="3"/>
      <c r="AA28" s="3"/>
      <c r="AB28"/>
      <c r="AC28"/>
      <c r="AD28"/>
      <c r="AE28"/>
      <c r="AF28"/>
    </row>
    <row r="29" spans="1:32" ht="15.75">
      <c r="A29" s="319"/>
      <c r="B29" s="417"/>
      <c r="C29" s="319"/>
      <c r="D29" s="319"/>
      <c r="E29" s="319"/>
      <c r="F29" s="319"/>
      <c r="G29" s="319"/>
      <c r="K29" s="421"/>
      <c r="L29" s="447">
        <v>1916</v>
      </c>
      <c r="M29" s="448">
        <f>COUNTIFS(B1:B403,"&gt;=1/1/1916",B1:B403,"&lt;=31/12/1916")</f>
        <v>0</v>
      </c>
      <c r="V29" s="3"/>
      <c r="W29" s="1712"/>
      <c r="X29" s="3"/>
      <c r="Y29" s="3"/>
      <c r="Z29" s="704"/>
      <c r="AA29" s="704"/>
      <c r="AB29" s="499"/>
      <c r="AC29" s="499"/>
      <c r="AD29" s="499"/>
      <c r="AE29"/>
      <c r="AF29"/>
    </row>
    <row r="30" spans="1:32" ht="15.75">
      <c r="A30" s="319"/>
      <c r="B30" s="417"/>
      <c r="C30" s="319"/>
      <c r="D30" s="319"/>
      <c r="E30" s="319"/>
      <c r="F30" s="319"/>
      <c r="G30" s="319"/>
      <c r="K30" s="421"/>
      <c r="L30" s="447">
        <v>1917</v>
      </c>
      <c r="M30" s="448">
        <f>COUNTIFS(B1:B404,"&gt;=1/1/1917",B1:B404,"&lt;=31/12/1917")</f>
        <v>0</v>
      </c>
      <c r="V30" s="705"/>
      <c r="W30" s="1712"/>
      <c r="X30" s="519"/>
      <c r="Y30" s="1711"/>
      <c r="Z30" s="1711"/>
      <c r="AA30" s="1711"/>
      <c r="AB30" s="501"/>
      <c r="AC30" s="501"/>
      <c r="AD30"/>
      <c r="AE30"/>
      <c r="AF30"/>
    </row>
    <row r="31" spans="1:32">
      <c r="A31" s="319"/>
      <c r="B31" s="417"/>
      <c r="C31" s="319"/>
      <c r="D31" s="319"/>
      <c r="E31" s="319"/>
      <c r="F31" s="319"/>
      <c r="G31" s="319"/>
      <c r="K31" s="421"/>
      <c r="L31" s="447">
        <v>1918</v>
      </c>
      <c r="M31" s="448">
        <f>COUNTIFS(B1:B405,"&gt;=1/1/1918",B1:B405,"&lt;=31/12/1918")</f>
        <v>0</v>
      </c>
      <c r="V31" s="3"/>
      <c r="W31" s="3"/>
      <c r="X31" s="3"/>
      <c r="Y31" s="3"/>
      <c r="Z31" s="3"/>
      <c r="AA31" s="3"/>
      <c r="AB31"/>
      <c r="AC31"/>
      <c r="AD31"/>
      <c r="AE31"/>
      <c r="AF31"/>
    </row>
    <row r="32" spans="1:32">
      <c r="A32" s="319"/>
      <c r="B32" s="417"/>
      <c r="C32" s="319"/>
      <c r="D32" s="319"/>
      <c r="E32" s="319"/>
      <c r="F32" s="319"/>
      <c r="G32" s="319"/>
      <c r="K32" s="421"/>
      <c r="L32" s="447">
        <v>1919</v>
      </c>
      <c r="M32" s="448">
        <f>COUNTIFS(B1:B406,"&gt;=1/1/1919",B1:B406,"&lt;=31/12/1919")</f>
        <v>0</v>
      </c>
      <c r="V32" s="3"/>
      <c r="W32" s="3"/>
      <c r="X32" s="3"/>
      <c r="Y32" s="3"/>
      <c r="Z32" s="3"/>
      <c r="AA32" s="3"/>
      <c r="AB32"/>
      <c r="AC32"/>
      <c r="AD32"/>
      <c r="AE32"/>
      <c r="AF32"/>
    </row>
    <row r="33" spans="1:13">
      <c r="A33" s="319"/>
      <c r="B33" s="417"/>
      <c r="C33" s="319"/>
      <c r="D33" s="319"/>
      <c r="E33" s="319"/>
      <c r="F33" s="319"/>
      <c r="G33" s="319"/>
      <c r="K33" s="421"/>
      <c r="L33" s="447">
        <v>1920</v>
      </c>
      <c r="M33" s="448">
        <f>COUNTIFS(B1:B407,"&gt;=1/1/1920",B1:B407,"&lt;=31/12/1920")</f>
        <v>0</v>
      </c>
    </row>
    <row r="34" spans="1:13">
      <c r="A34" s="319"/>
      <c r="B34" s="417"/>
      <c r="C34" s="319"/>
      <c r="D34" s="319"/>
      <c r="E34" s="319"/>
      <c r="F34" s="319"/>
      <c r="G34" s="319"/>
      <c r="K34" s="421"/>
      <c r="L34" s="447">
        <v>1921</v>
      </c>
      <c r="M34" s="448">
        <f>COUNTIFS(B1:B408,"&gt;=1/1/1921",B1:B408,"&lt;=31/12/1921")</f>
        <v>0</v>
      </c>
    </row>
    <row r="35" spans="1:13">
      <c r="A35" s="319"/>
      <c r="B35" s="417"/>
      <c r="C35" s="319"/>
      <c r="D35" s="319"/>
      <c r="E35" s="319"/>
      <c r="F35" s="319"/>
      <c r="G35" s="319"/>
      <c r="K35" s="421"/>
      <c r="L35" s="447">
        <v>1922</v>
      </c>
      <c r="M35" s="448">
        <f>COUNTIFS(B1:B409,"&gt;=1/1/1922",B1:B409,"&lt;=31/12/1922")</f>
        <v>0</v>
      </c>
    </row>
    <row r="36" spans="1:13">
      <c r="A36" s="319"/>
      <c r="B36" s="417"/>
      <c r="C36" s="319"/>
      <c r="D36" s="319"/>
      <c r="E36" s="319"/>
      <c r="F36" s="319"/>
      <c r="G36" s="319"/>
      <c r="K36" s="421"/>
      <c r="L36" s="447">
        <v>1923</v>
      </c>
      <c r="M36" s="448">
        <f>COUNTIFS(B1:B410,"&gt;=1/1/1923",B1:B410,"&lt;=31/12/1923")</f>
        <v>0</v>
      </c>
    </row>
    <row r="37" spans="1:13">
      <c r="A37" s="319"/>
      <c r="B37" s="417"/>
      <c r="C37" s="319"/>
      <c r="D37" s="319"/>
      <c r="E37" s="319"/>
      <c r="F37" s="319"/>
      <c r="G37" s="319"/>
      <c r="K37" s="421"/>
      <c r="L37" s="447">
        <v>1924</v>
      </c>
      <c r="M37" s="448">
        <f>COUNTIFS(B1:B411,"&gt;=1/1/1924",B1:B411,"&lt;=31/12/1924")</f>
        <v>0</v>
      </c>
    </row>
    <row r="38" spans="1:13">
      <c r="A38" s="319"/>
      <c r="B38" s="417"/>
      <c r="C38" s="319"/>
      <c r="D38" s="319"/>
      <c r="E38" s="319"/>
      <c r="F38" s="319"/>
      <c r="G38" s="319"/>
      <c r="K38" s="421"/>
      <c r="L38" s="447">
        <v>1925</v>
      </c>
      <c r="M38" s="448">
        <f>COUNTIFS(B1:B412,"&gt;=1/1/1925",B1:B412,"&lt;=31/12/1925")</f>
        <v>0</v>
      </c>
    </row>
    <row r="39" spans="1:13">
      <c r="A39" s="319"/>
      <c r="B39" s="417"/>
      <c r="C39" s="319"/>
      <c r="D39" s="319"/>
      <c r="E39" s="319"/>
      <c r="F39" s="319"/>
      <c r="G39" s="319"/>
      <c r="K39" s="421"/>
      <c r="L39" s="447">
        <v>1926</v>
      </c>
      <c r="M39" s="448">
        <f>COUNTIFS(B1:B413,"&gt;=1/1/1926",B1:B413,"&lt;=31/12/1926")</f>
        <v>0</v>
      </c>
    </row>
    <row r="40" spans="1:13">
      <c r="A40" s="319"/>
      <c r="B40" s="417"/>
      <c r="C40" s="319"/>
      <c r="D40" s="319"/>
      <c r="E40" s="319"/>
      <c r="F40" s="319"/>
      <c r="G40" s="319"/>
      <c r="K40" s="421"/>
      <c r="L40" s="447">
        <v>1927</v>
      </c>
      <c r="M40" s="448">
        <f>COUNTIFS(B1:B414,"&gt;=1/1/1927",B1:B414,"&lt;=31/12/1927")</f>
        <v>0</v>
      </c>
    </row>
    <row r="41" spans="1:13">
      <c r="A41" s="319"/>
      <c r="B41" s="417"/>
      <c r="C41" s="319"/>
      <c r="D41" s="319"/>
      <c r="E41" s="319"/>
      <c r="F41" s="319"/>
      <c r="G41" s="319"/>
      <c r="K41" s="421"/>
      <c r="L41" s="447">
        <v>1928</v>
      </c>
      <c r="M41" s="448">
        <f>COUNTIFS(B1:B415,"&gt;=1/1/1928",B1:B415,"&lt;=31/12/1928")</f>
        <v>0</v>
      </c>
    </row>
    <row r="42" spans="1:13">
      <c r="A42" s="319"/>
      <c r="B42" s="417"/>
      <c r="C42" s="319"/>
      <c r="D42" s="319"/>
      <c r="E42" s="319"/>
      <c r="F42" s="319"/>
      <c r="G42" s="319"/>
      <c r="K42" s="421"/>
      <c r="L42" s="447">
        <v>1929</v>
      </c>
      <c r="M42" s="448">
        <f>COUNTIFS(B1:B416,"&gt;=1/1/1929",B1:B416,"&lt;=31/12/1929")</f>
        <v>0</v>
      </c>
    </row>
    <row r="43" spans="1:13">
      <c r="A43" s="319"/>
      <c r="B43" s="417"/>
      <c r="C43" s="319"/>
      <c r="D43" s="319"/>
      <c r="E43" s="319"/>
      <c r="F43" s="319"/>
      <c r="G43" s="319"/>
      <c r="K43" s="421"/>
      <c r="L43" s="447">
        <v>1930</v>
      </c>
      <c r="M43" s="448">
        <f>COUNTIFS(B1:B416,"&gt;=1/1/1930",B1:B416,"&lt;=31/12/1930")</f>
        <v>0</v>
      </c>
    </row>
    <row r="44" spans="1:13">
      <c r="A44" s="319"/>
      <c r="B44" s="417"/>
      <c r="C44" s="319"/>
      <c r="D44" s="319"/>
      <c r="E44" s="319"/>
      <c r="F44" s="319"/>
      <c r="G44" s="319"/>
      <c r="K44" s="421"/>
      <c r="L44" s="447">
        <v>1931</v>
      </c>
      <c r="M44" s="448">
        <f>COUNTIFS(B1:B418,"&gt;=1/1/1931",B1:B418,"&lt;=31/12/1931")</f>
        <v>0</v>
      </c>
    </row>
    <row r="45" spans="1:13">
      <c r="A45" s="319"/>
      <c r="B45" s="417"/>
      <c r="C45" s="319"/>
      <c r="D45" s="319"/>
      <c r="E45" s="319"/>
      <c r="F45" s="319"/>
      <c r="G45" s="319"/>
      <c r="K45" s="421"/>
      <c r="L45" s="447">
        <v>1932</v>
      </c>
      <c r="M45" s="448">
        <f>COUNTIFS(B1:B419,"&gt;=1/1/1932",B1:B419,"&lt;=31/12/1932")</f>
        <v>0</v>
      </c>
    </row>
    <row r="46" spans="1:13">
      <c r="A46" s="319"/>
      <c r="B46" s="417"/>
      <c r="C46" s="319"/>
      <c r="D46" s="319"/>
      <c r="E46" s="319"/>
      <c r="F46" s="319"/>
      <c r="G46" s="319"/>
      <c r="K46" s="421"/>
      <c r="L46" s="447">
        <v>1933</v>
      </c>
      <c r="M46" s="448">
        <f>COUNTIFS(B1:B420,"&gt;=1/1/1933",B1:B420,"&lt;=31/12/1933")</f>
        <v>0</v>
      </c>
    </row>
    <row r="47" spans="1:13">
      <c r="A47" s="319"/>
      <c r="B47" s="417"/>
      <c r="C47" s="319"/>
      <c r="D47" s="319"/>
      <c r="E47" s="319"/>
      <c r="F47" s="319"/>
      <c r="G47" s="319"/>
      <c r="K47" s="421"/>
      <c r="L47" s="447">
        <v>1934</v>
      </c>
      <c r="M47" s="448">
        <f>COUNTIFS(B1:B421,"&gt;=1/1/1934",B1:B421,"&lt;=31/12/1934")</f>
        <v>0</v>
      </c>
    </row>
    <row r="48" spans="1:13">
      <c r="A48" s="319"/>
      <c r="B48" s="417"/>
      <c r="C48" s="319"/>
      <c r="D48" s="319"/>
      <c r="E48" s="319"/>
      <c r="F48" s="319"/>
      <c r="G48" s="319"/>
      <c r="K48" s="421"/>
      <c r="L48" s="447">
        <v>1935</v>
      </c>
      <c r="M48" s="448">
        <f>COUNTIFS(B1:B422,"&gt;=1/1/1935",B1:B422,"&lt;=31/12/1935")</f>
        <v>0</v>
      </c>
    </row>
    <row r="49" spans="1:19">
      <c r="A49" s="319"/>
      <c r="B49" s="417"/>
      <c r="C49" s="319"/>
      <c r="D49" s="319"/>
      <c r="E49" s="319"/>
      <c r="F49" s="319"/>
      <c r="G49" s="319"/>
      <c r="K49" s="421"/>
      <c r="L49" s="447">
        <v>1936</v>
      </c>
      <c r="M49" s="448">
        <f>COUNTIFS(B1:B423,"&gt;=1/1/1936",B1:B423,"&lt;=31/12/1936")</f>
        <v>0</v>
      </c>
    </row>
    <row r="50" spans="1:19">
      <c r="A50" s="319"/>
      <c r="B50" s="417"/>
      <c r="C50" s="319"/>
      <c r="D50" s="319"/>
      <c r="E50" s="319"/>
      <c r="F50" s="319"/>
      <c r="G50" s="319"/>
      <c r="K50" s="421"/>
      <c r="L50" s="447">
        <v>1937</v>
      </c>
      <c r="M50" s="448">
        <f>COUNTIFS(B1:B424,"&gt;=1/1/1937",B1:B424,"&lt;=31/12/1937")</f>
        <v>0</v>
      </c>
    </row>
    <row r="51" spans="1:19">
      <c r="A51" s="319"/>
      <c r="B51" s="417"/>
      <c r="C51" s="319"/>
      <c r="D51" s="319"/>
      <c r="E51" s="319"/>
      <c r="F51" s="319"/>
      <c r="G51" s="319"/>
      <c r="K51" s="421"/>
      <c r="L51" s="447">
        <v>1938</v>
      </c>
      <c r="M51" s="448">
        <f>COUNTIFS(B1:B425,"&gt;=1/1/1938",B1:B425,"&lt;=31/12/1938")</f>
        <v>0</v>
      </c>
    </row>
    <row r="52" spans="1:19">
      <c r="A52" s="319"/>
      <c r="B52" s="417"/>
      <c r="C52" s="319"/>
      <c r="D52" s="319"/>
      <c r="E52" s="319"/>
      <c r="F52" s="319"/>
      <c r="G52" s="319"/>
      <c r="K52" s="421"/>
      <c r="L52" s="447">
        <v>1939</v>
      </c>
      <c r="M52" s="448">
        <f>COUNTIFS(B1:B426,"&gt;=1/1/1939",B1:B426,"&lt;=31/12/1939")</f>
        <v>0</v>
      </c>
    </row>
    <row r="53" spans="1:19">
      <c r="A53" s="319"/>
      <c r="B53" s="417"/>
      <c r="C53" s="319"/>
      <c r="D53" s="319"/>
      <c r="E53" s="319"/>
      <c r="F53" s="319"/>
      <c r="G53" s="319"/>
      <c r="K53" s="421"/>
      <c r="L53" s="447">
        <v>1940</v>
      </c>
      <c r="M53" s="448">
        <f>COUNTIFS(B1:B427,"&gt;=1/1/1940",B1:B427,"&lt;=31/12/1940")</f>
        <v>0</v>
      </c>
    </row>
    <row r="54" spans="1:19">
      <c r="A54" s="319"/>
      <c r="B54" s="417"/>
      <c r="C54" s="319"/>
      <c r="D54" s="319"/>
      <c r="E54" s="319"/>
      <c r="F54" s="319"/>
      <c r="G54" s="319"/>
      <c r="K54" s="421"/>
      <c r="L54" s="447">
        <v>1941</v>
      </c>
      <c r="M54" s="448">
        <f>COUNTIFS(B1:B428,"&gt;=1/1/1941",B1:B428,"&lt;=31/12/1941")</f>
        <v>0</v>
      </c>
    </row>
    <row r="55" spans="1:19">
      <c r="A55" s="319"/>
      <c r="B55" s="417"/>
      <c r="C55" s="319"/>
      <c r="D55" s="319"/>
      <c r="E55" s="319"/>
      <c r="F55" s="319"/>
      <c r="G55" s="319"/>
      <c r="K55" s="421"/>
      <c r="L55" s="447">
        <v>1942</v>
      </c>
      <c r="M55" s="448">
        <f>COUNTIFS(B1:B429,"&gt;=1/1/1942",B1:B429,"&lt;=31/12/1942")</f>
        <v>0</v>
      </c>
    </row>
    <row r="56" spans="1:19">
      <c r="A56" s="319"/>
      <c r="B56" s="417"/>
      <c r="C56" s="319"/>
      <c r="D56" s="319"/>
      <c r="E56" s="319"/>
      <c r="F56" s="319"/>
      <c r="G56" s="319"/>
      <c r="K56" s="421"/>
      <c r="L56" s="447">
        <v>1943</v>
      </c>
      <c r="M56" s="448">
        <f>COUNTIFS(B1:B430,"&gt;=1/1/1943",B1:B430,"&lt;=31/12/1943")</f>
        <v>0</v>
      </c>
    </row>
    <row r="57" spans="1:19">
      <c r="A57" s="319"/>
      <c r="B57" s="417"/>
      <c r="C57" s="319"/>
      <c r="D57" s="319"/>
      <c r="E57" s="319"/>
      <c r="F57" s="319"/>
      <c r="G57" s="319"/>
      <c r="K57" s="421"/>
      <c r="L57" s="447">
        <v>1944</v>
      </c>
      <c r="M57" s="448">
        <f>COUNTIFS(B1:B431,"&gt;=1/1/1944",B1:B431,"&lt;=31/12/1944")</f>
        <v>0</v>
      </c>
    </row>
    <row r="58" spans="1:19">
      <c r="A58" s="319"/>
      <c r="B58" s="417"/>
      <c r="C58" s="319"/>
      <c r="D58" s="319"/>
      <c r="E58" s="319"/>
      <c r="F58" s="319"/>
      <c r="G58" s="319"/>
      <c r="K58" s="421"/>
      <c r="L58" s="447">
        <v>1945</v>
      </c>
      <c r="M58" s="448">
        <f>COUNTIFS(B1:B432,"&gt;=1/1/1945",B1:B432,"&lt;=31/12/1945")</f>
        <v>0</v>
      </c>
      <c r="S58" s="427"/>
    </row>
    <row r="59" spans="1:19">
      <c r="A59" s="319"/>
      <c r="B59" s="417"/>
      <c r="C59" s="319"/>
      <c r="D59" s="319"/>
      <c r="E59" s="319"/>
      <c r="F59" s="319"/>
      <c r="G59" s="319"/>
      <c r="K59" s="421"/>
      <c r="L59" s="447">
        <v>1946</v>
      </c>
      <c r="M59" s="448">
        <f>COUNTIFS(B1:B433,"&gt;=1/1/1946",B1:B433,"&lt;=31/12/1946")</f>
        <v>0</v>
      </c>
      <c r="S59" s="427"/>
    </row>
    <row r="60" spans="1:19">
      <c r="A60" s="319"/>
      <c r="B60" s="417"/>
      <c r="C60" s="319"/>
      <c r="D60" s="319"/>
      <c r="E60" s="319"/>
      <c r="F60" s="319"/>
      <c r="G60" s="319"/>
      <c r="K60" s="421"/>
      <c r="L60" s="447">
        <v>1947</v>
      </c>
      <c r="M60" s="448">
        <f>COUNTIFS(B1:B434,"&gt;=1/1/1947",B1:B434,"&lt;=31/12/1947")</f>
        <v>0</v>
      </c>
      <c r="S60" s="427"/>
    </row>
    <row r="61" spans="1:19">
      <c r="A61" s="319"/>
      <c r="B61" s="417"/>
      <c r="C61" s="319"/>
      <c r="D61" s="319"/>
      <c r="E61" s="319"/>
      <c r="F61" s="319"/>
      <c r="G61" s="319"/>
      <c r="K61" s="421"/>
      <c r="L61" s="447">
        <v>1948</v>
      </c>
      <c r="M61" s="448">
        <f>COUNTIFS(B1:B435,"&gt;=1/1/1948",B1:B435,"&lt;=31/12/1948")</f>
        <v>0</v>
      </c>
      <c r="S61" s="427"/>
    </row>
    <row r="62" spans="1:19">
      <c r="A62" s="319"/>
      <c r="B62" s="417"/>
      <c r="C62" s="319"/>
      <c r="D62" s="319"/>
      <c r="E62" s="319"/>
      <c r="F62" s="319"/>
      <c r="G62" s="319"/>
      <c r="K62" s="421"/>
      <c r="L62" s="447">
        <v>1949</v>
      </c>
      <c r="M62" s="448">
        <f>COUNTIFS(B1:B436,"&gt;=1/1/1949",B1:B436,"&lt;=31/12/1949")</f>
        <v>0</v>
      </c>
      <c r="S62" s="428"/>
    </row>
    <row r="63" spans="1:19">
      <c r="A63" s="319"/>
      <c r="B63" s="417"/>
      <c r="C63" s="319"/>
      <c r="D63" s="319"/>
      <c r="E63" s="319"/>
      <c r="F63" s="319"/>
      <c r="G63" s="319"/>
      <c r="K63" s="421"/>
      <c r="L63" s="447">
        <v>1950</v>
      </c>
      <c r="M63" s="448">
        <f>COUNTIFS(B1:B437,"&gt;=1/1/1950",B1:B437,"&lt;=31/12/1950")</f>
        <v>0</v>
      </c>
      <c r="S63" s="427"/>
    </row>
    <row r="64" spans="1:19">
      <c r="A64" s="319"/>
      <c r="B64" s="417"/>
      <c r="C64" s="319"/>
      <c r="D64" s="319"/>
      <c r="E64" s="319"/>
      <c r="F64" s="319"/>
      <c r="G64" s="319"/>
      <c r="K64" s="421"/>
      <c r="L64" s="447">
        <v>1951</v>
      </c>
      <c r="M64" s="448">
        <f>COUNTIFS(B1:B438,"&gt;=1/1/1951",B1:B438,"&lt;=31/12/1951")</f>
        <v>0</v>
      </c>
      <c r="S64" s="427"/>
    </row>
    <row r="65" spans="1:19">
      <c r="A65" s="319"/>
      <c r="B65" s="417"/>
      <c r="C65" s="319"/>
      <c r="D65" s="319"/>
      <c r="E65" s="319"/>
      <c r="F65" s="319"/>
      <c r="G65" s="319"/>
      <c r="K65" s="421"/>
      <c r="L65" s="447">
        <v>1952</v>
      </c>
      <c r="M65" s="448">
        <f>COUNTIFS(B1:B439,"&gt;=1/1/1952",B1:B439,"&lt;=31/12/1952")</f>
        <v>0</v>
      </c>
      <c r="S65" s="427"/>
    </row>
    <row r="66" spans="1:19">
      <c r="A66" s="319"/>
      <c r="B66" s="417"/>
      <c r="C66" s="319"/>
      <c r="D66" s="319"/>
      <c r="E66" s="319"/>
      <c r="F66" s="319"/>
      <c r="G66" s="319"/>
      <c r="K66" s="421"/>
      <c r="L66" s="447">
        <v>1953</v>
      </c>
      <c r="M66" s="448">
        <f>COUNTIFS(B1:B440,"&gt;=1/1/1953",B1:B440,"&lt;=31/12/1953")</f>
        <v>0</v>
      </c>
      <c r="S66" s="427"/>
    </row>
    <row r="67" spans="1:19">
      <c r="A67" s="319"/>
      <c r="B67" s="417"/>
      <c r="C67" s="319"/>
      <c r="D67" s="319"/>
      <c r="E67" s="319"/>
      <c r="F67" s="319"/>
      <c r="G67" s="319"/>
      <c r="K67" s="421"/>
      <c r="L67" s="447">
        <v>1954</v>
      </c>
      <c r="M67" s="448">
        <f>COUNTIFS(B1:B441,"&gt;=1/1/1954",B1:B441,"&lt;=31/12/1954")</f>
        <v>0</v>
      </c>
      <c r="S67" s="425"/>
    </row>
    <row r="68" spans="1:19">
      <c r="A68" s="319"/>
      <c r="B68" s="417"/>
      <c r="C68" s="319"/>
      <c r="D68" s="319"/>
      <c r="E68" s="319"/>
      <c r="F68" s="319"/>
      <c r="G68" s="319"/>
      <c r="K68" s="421"/>
      <c r="L68" s="447">
        <v>1955</v>
      </c>
      <c r="M68" s="448">
        <f>COUNTIFS(B1:B442,"&gt;=1/1/1955",B1:B442,"&lt;=31/12/1955")</f>
        <v>0</v>
      </c>
      <c r="S68" s="425"/>
    </row>
    <row r="69" spans="1:19">
      <c r="A69" s="319"/>
      <c r="B69" s="417"/>
      <c r="C69" s="319"/>
      <c r="D69" s="319"/>
      <c r="E69" s="319"/>
      <c r="F69" s="319"/>
      <c r="G69" s="319"/>
      <c r="K69" s="421"/>
      <c r="L69" s="447">
        <v>1956</v>
      </c>
      <c r="M69" s="448">
        <f>COUNTIFS(B1:B443,"&gt;=1/1/1956",B1:B443,"&lt;=31/12/1956")</f>
        <v>0</v>
      </c>
      <c r="S69" s="425"/>
    </row>
    <row r="70" spans="1:19">
      <c r="A70" s="319"/>
      <c r="B70" s="417"/>
      <c r="C70" s="319"/>
      <c r="D70" s="319"/>
      <c r="E70" s="319"/>
      <c r="F70" s="319"/>
      <c r="G70" s="319"/>
      <c r="K70" s="421"/>
      <c r="L70" s="447">
        <v>1957</v>
      </c>
      <c r="M70" s="448">
        <f>COUNTIFS(B1:B444,"&gt;=1/1/1957",B1:B444,"&lt;=31/12/1957")</f>
        <v>0</v>
      </c>
      <c r="S70" s="425"/>
    </row>
    <row r="71" spans="1:19">
      <c r="A71" s="319"/>
      <c r="B71" s="417"/>
      <c r="C71" s="319"/>
      <c r="D71" s="319"/>
      <c r="E71" s="319"/>
      <c r="F71" s="319"/>
      <c r="G71" s="319"/>
      <c r="K71" s="421"/>
      <c r="L71" s="447">
        <v>1958</v>
      </c>
      <c r="M71" s="448">
        <f>COUNTIFS(B1:B445,"&gt;=1/1/1958",B1:B445,"&lt;=31/12/1958")</f>
        <v>0</v>
      </c>
      <c r="S71" s="425"/>
    </row>
    <row r="72" spans="1:19">
      <c r="A72" s="319"/>
      <c r="B72" s="417"/>
      <c r="C72" s="319"/>
      <c r="D72" s="319"/>
      <c r="E72" s="319"/>
      <c r="F72" s="319"/>
      <c r="G72" s="319"/>
      <c r="K72" s="421"/>
      <c r="L72" s="447">
        <v>1959</v>
      </c>
      <c r="M72" s="448">
        <f>COUNTIFS(B1:B446,"&gt;=1/1/1959",B1:B446,"&lt;=31/12/1959")</f>
        <v>0</v>
      </c>
      <c r="S72" s="425"/>
    </row>
    <row r="73" spans="1:19">
      <c r="A73" s="319"/>
      <c r="B73" s="417"/>
      <c r="C73" s="319"/>
      <c r="D73" s="319"/>
      <c r="E73" s="319"/>
      <c r="F73" s="319"/>
      <c r="G73" s="319"/>
      <c r="K73" s="421"/>
      <c r="L73" s="447">
        <v>1960</v>
      </c>
      <c r="M73" s="448">
        <f>COUNTIFS(B1:B447,"&gt;=1/1/1960",B1:B447,"&lt;=31/12/1960")</f>
        <v>0</v>
      </c>
      <c r="S73" s="425"/>
    </row>
    <row r="74" spans="1:19">
      <c r="C74" s="429"/>
      <c r="K74" s="421"/>
      <c r="L74" s="447">
        <v>1961</v>
      </c>
      <c r="M74" s="448">
        <f>COUNTIFS(B1:B497,"&gt;=1/1/1961",B1:B497,"&lt;=31/12/1961")</f>
        <v>0</v>
      </c>
      <c r="S74" s="425"/>
    </row>
    <row r="75" spans="1:19">
      <c r="B75" s="429"/>
      <c r="K75" s="421"/>
      <c r="L75" s="447">
        <v>1962</v>
      </c>
      <c r="M75" s="448">
        <f>COUNTIFS(B1:B423,"&gt;=1/1/1962",B1:B423,"&lt;=31/12/1962")</f>
        <v>0</v>
      </c>
      <c r="S75" s="425"/>
    </row>
    <row r="76" spans="1:19">
      <c r="B76" s="429"/>
      <c r="K76" s="421"/>
      <c r="L76" s="447">
        <v>1963</v>
      </c>
      <c r="M76" s="448">
        <f>COUNTIFS(B1:B450,"&gt;=1/1/1963",B1:B450,"&lt;=31/12/1963")</f>
        <v>0</v>
      </c>
      <c r="S76" s="425"/>
    </row>
    <row r="77" spans="1:19">
      <c r="B77" s="429"/>
      <c r="K77" s="421"/>
      <c r="L77" s="447">
        <v>1964</v>
      </c>
      <c r="M77" s="448">
        <f>COUNTIFS(B1:B451,"&gt;=1/1/1964",B1:B451,"&lt;=31/12/1964")</f>
        <v>0</v>
      </c>
      <c r="S77" s="425"/>
    </row>
    <row r="78" spans="1:19">
      <c r="B78" s="429"/>
      <c r="K78" s="421"/>
      <c r="L78" s="447">
        <v>1965</v>
      </c>
      <c r="M78" s="448">
        <f>COUNTIFS(B1:B452,"&gt;=1/1/1965",B1:B452,"&lt;=31/12/1965")</f>
        <v>0</v>
      </c>
      <c r="S78" s="425"/>
    </row>
    <row r="79" spans="1:19">
      <c r="B79" s="429"/>
      <c r="K79" s="421"/>
      <c r="L79" s="447">
        <v>1966</v>
      </c>
      <c r="M79" s="448">
        <f>COUNTIFS(B1:B453,"&gt;=1/1/1966",B1:B453,"&lt;=31/12/1966")</f>
        <v>0</v>
      </c>
      <c r="S79" s="425"/>
    </row>
    <row r="80" spans="1:19">
      <c r="B80" s="429"/>
      <c r="K80" s="421"/>
      <c r="L80" s="447">
        <v>1967</v>
      </c>
      <c r="M80" s="448">
        <f>COUNTIFS(B1:B454,"&gt;=1/1/1967",B1:B454,"&lt;=31/12/1967")</f>
        <v>0</v>
      </c>
      <c r="S80" s="425"/>
    </row>
    <row r="81" spans="2:19">
      <c r="B81" s="429"/>
      <c r="K81" s="421"/>
      <c r="L81" s="447">
        <v>1968</v>
      </c>
      <c r="M81" s="448">
        <f>COUNTIFS(B1:B455,"&gt;=1/1/1968",B1:B455,"&lt;=31/12/1968")</f>
        <v>0</v>
      </c>
      <c r="S81" s="425"/>
    </row>
    <row r="82" spans="2:19">
      <c r="B82" s="429"/>
      <c r="K82" s="421"/>
      <c r="L82" s="447">
        <v>1969</v>
      </c>
      <c r="M82" s="448">
        <f>COUNTIFS(B1:B456,"&gt;=1/1/1969",B1:B456,"&lt;=31/12/1969")</f>
        <v>0</v>
      </c>
      <c r="S82" s="425"/>
    </row>
    <row r="83" spans="2:19">
      <c r="B83" s="429"/>
      <c r="K83" s="421"/>
      <c r="L83" s="447">
        <v>1970</v>
      </c>
      <c r="M83" s="448">
        <f>COUNTIFS(B1:B457,"&gt;=1/1/1970",B1:B457,"&lt;=31/12/1970")</f>
        <v>0</v>
      </c>
      <c r="S83" s="425"/>
    </row>
    <row r="84" spans="2:19">
      <c r="B84" s="429"/>
      <c r="K84" s="421"/>
      <c r="L84" s="447">
        <v>1971</v>
      </c>
      <c r="M84" s="448">
        <f>COUNTIFS(B1:B458,"&gt;=1/1/1971",B1:B458,"&lt;=31/12/1971")</f>
        <v>0</v>
      </c>
      <c r="S84" s="425"/>
    </row>
    <row r="85" spans="2:19">
      <c r="B85" s="429"/>
      <c r="K85" s="421"/>
      <c r="L85" s="447">
        <v>1972</v>
      </c>
      <c r="M85" s="448">
        <f>COUNTIFS(B1:B459,"&gt;=1/1/1972",B1:B459,"&lt;=31/12/1972")</f>
        <v>0</v>
      </c>
      <c r="S85" s="425"/>
    </row>
    <row r="86" spans="2:19">
      <c r="B86" s="429"/>
      <c r="K86" s="421"/>
      <c r="L86" s="447">
        <v>1973</v>
      </c>
      <c r="M86" s="448">
        <f>COUNTIFS(B1:B460,"&gt;=1/1/1973",B1:B460,"&lt;=31/12/1973")</f>
        <v>0</v>
      </c>
      <c r="S86" s="425"/>
    </row>
    <row r="87" spans="2:19">
      <c r="B87" s="429"/>
      <c r="K87" s="421"/>
      <c r="L87" s="447">
        <v>1974</v>
      </c>
      <c r="M87" s="448">
        <f>COUNTIFS(B1:B461,"&gt;=1/1/1974",B1:B461,"&lt;=31/12/1974")</f>
        <v>0</v>
      </c>
    </row>
    <row r="88" spans="2:19">
      <c r="B88" s="429"/>
      <c r="K88" s="421"/>
      <c r="L88" s="447">
        <v>1975</v>
      </c>
      <c r="M88" s="448">
        <f>COUNTIFS(B1:B462,"&gt;=1/1/1975",B1:B462,"&lt;=31/12/1975")</f>
        <v>0</v>
      </c>
    </row>
    <row r="89" spans="2:19">
      <c r="B89" s="429"/>
      <c r="K89" s="421"/>
      <c r="L89" s="447">
        <v>1976</v>
      </c>
      <c r="M89" s="448">
        <f>COUNTIFS(B1:B463,"&gt;=1/1/1976",B1:B463,"&lt;=31/12/1976")</f>
        <v>0</v>
      </c>
    </row>
    <row r="90" spans="2:19">
      <c r="B90" s="429"/>
      <c r="L90" s="447">
        <v>1977</v>
      </c>
      <c r="M90" s="448">
        <f>COUNTIFS(B1:B464,"&gt;=1/1/1977",B1:B464,"&lt;=31/12/1977")</f>
        <v>0</v>
      </c>
    </row>
    <row r="91" spans="2:19">
      <c r="B91" s="429"/>
      <c r="L91" s="447">
        <v>1978</v>
      </c>
      <c r="M91" s="448">
        <f>COUNTIFS(B1:B465,"&gt;=1/1/1978",B1:B465,"&lt;=31/12/1978")</f>
        <v>0</v>
      </c>
    </row>
    <row r="92" spans="2:19">
      <c r="B92" s="429"/>
      <c r="L92" s="447">
        <v>1979</v>
      </c>
      <c r="M92" s="448">
        <f>COUNTIFS(B1:B466,"&gt;=1/1/1979",B1:B466,"&lt;=31/12/1979")</f>
        <v>0</v>
      </c>
    </row>
    <row r="93" spans="2:19">
      <c r="B93" s="429"/>
      <c r="L93" s="447">
        <v>1980</v>
      </c>
      <c r="M93" s="448">
        <f>COUNTIFS(B1:B467,"&gt;=1/1/1980",B1:B467,"&lt;=31/12/1980")</f>
        <v>0</v>
      </c>
    </row>
    <row r="94" spans="2:19">
      <c r="B94" s="429"/>
      <c r="L94" s="447">
        <v>1981</v>
      </c>
      <c r="M94" s="448">
        <f>COUNTIFS(B1:B468,"&gt;=1/1/1981",B1:B468,"&lt;=31/12/1981")</f>
        <v>0</v>
      </c>
    </row>
    <row r="95" spans="2:19">
      <c r="B95" s="429"/>
      <c r="L95" s="447">
        <v>1982</v>
      </c>
      <c r="M95" s="448">
        <f>COUNTIFS(B1:B469,"&gt;=1/1/1982",B1:B469,"&lt;=31/12/1982")</f>
        <v>0</v>
      </c>
    </row>
    <row r="96" spans="2:19">
      <c r="B96" s="429"/>
      <c r="L96" s="447">
        <v>1983</v>
      </c>
      <c r="M96" s="448">
        <f>COUNTIFS(B1:B470,"&gt;=1/1/1983",B1:B470,"&lt;=31/12/1983")</f>
        <v>0</v>
      </c>
    </row>
    <row r="97" spans="2:13">
      <c r="B97" s="429"/>
      <c r="L97" s="447">
        <v>1984</v>
      </c>
      <c r="M97" s="448">
        <f>COUNTIFS(B1:B471,"&gt;=1/1/1984",B1:B471,"&lt;=31/12/1984")</f>
        <v>0</v>
      </c>
    </row>
    <row r="98" spans="2:13">
      <c r="B98" s="429"/>
      <c r="L98" s="447">
        <v>1985</v>
      </c>
      <c r="M98" s="448">
        <f>COUNTIFS(B1:B472,"&gt;=1/1/1985",B1:B472,"&lt;=31/12/1985")</f>
        <v>0</v>
      </c>
    </row>
    <row r="99" spans="2:13">
      <c r="B99" s="429"/>
      <c r="L99" s="447">
        <v>1986</v>
      </c>
      <c r="M99" s="448">
        <f>COUNTIFS(B1:B473,"&gt;=1/1/1986",B1:B473,"&lt;=31/12/1986")</f>
        <v>0</v>
      </c>
    </row>
    <row r="100" spans="2:13">
      <c r="B100" s="429"/>
      <c r="L100" s="447">
        <v>1987</v>
      </c>
      <c r="M100" s="448">
        <f>COUNTIFS(B1:B474,"&gt;=1/1/1987",B1:B474,"&lt;=31/12/1987")</f>
        <v>0</v>
      </c>
    </row>
    <row r="101" spans="2:13">
      <c r="B101" s="429"/>
      <c r="L101" s="447">
        <v>1988</v>
      </c>
      <c r="M101" s="448">
        <f>COUNTIFS(B1:B475,"&gt;=1/1/1988",B1:B475,"&lt;=31/12/1988")</f>
        <v>0</v>
      </c>
    </row>
    <row r="102" spans="2:13">
      <c r="B102" s="429"/>
      <c r="L102" s="447">
        <v>1989</v>
      </c>
      <c r="M102" s="448">
        <f>COUNTIFS(B1:B476,"&gt;=1/1/1989",B1:B476,"&lt;=31/12/1989")</f>
        <v>0</v>
      </c>
    </row>
    <row r="103" spans="2:13">
      <c r="B103" s="429"/>
      <c r="L103" s="447">
        <v>1990</v>
      </c>
      <c r="M103" s="448">
        <f>COUNTIFS(B1:B477,"&gt;=1/1/1990",B1:B477,"&lt;=31/12/1990")</f>
        <v>0</v>
      </c>
    </row>
    <row r="104" spans="2:13">
      <c r="B104" s="429"/>
      <c r="L104" s="447">
        <v>1991</v>
      </c>
      <c r="M104" s="448">
        <f>COUNTIFS(B1:B478,"&gt;=1/1/1991",B1:B478,"&lt;=31/12/1991")</f>
        <v>0</v>
      </c>
    </row>
    <row r="105" spans="2:13">
      <c r="B105" s="429"/>
      <c r="L105" s="447">
        <v>1992</v>
      </c>
      <c r="M105" s="448">
        <f>COUNTIFS(B1:B479,"&gt;=1/1/1992",B1:B479,"&lt;=31/12/1992")</f>
        <v>0</v>
      </c>
    </row>
    <row r="106" spans="2:13">
      <c r="B106" s="429"/>
      <c r="L106" s="447">
        <v>1993</v>
      </c>
      <c r="M106" s="448">
        <f>COUNTIFS(B1:B480,"&gt;=1/1/1993",B1:B480,"&lt;=31/12/1993")</f>
        <v>0</v>
      </c>
    </row>
    <row r="107" spans="2:13">
      <c r="B107" s="429"/>
      <c r="L107" s="447">
        <v>1994</v>
      </c>
      <c r="M107" s="448">
        <f>COUNTIFS(B1:B481,"&gt;=1/1/1994",B1:B481,"&lt;=31/12/1994")</f>
        <v>0</v>
      </c>
    </row>
    <row r="108" spans="2:13">
      <c r="B108" s="429"/>
      <c r="L108" s="447">
        <v>1995</v>
      </c>
      <c r="M108" s="448">
        <f>COUNTIFS(B1:B482,"&gt;=1/1/1995",B1:B482,"&lt;=31/12/1995")</f>
        <v>0</v>
      </c>
    </row>
    <row r="109" spans="2:13">
      <c r="B109" s="429"/>
      <c r="L109" s="447">
        <v>1996</v>
      </c>
      <c r="M109" s="448">
        <f>COUNTIFS(B1:B483,"&gt;=1/1/1996",B1:B483,"&lt;=31/12/1996")</f>
        <v>0</v>
      </c>
    </row>
    <row r="110" spans="2:13">
      <c r="B110" s="429"/>
      <c r="L110" s="447">
        <v>1997</v>
      </c>
      <c r="M110" s="448">
        <f>COUNTIFS(B1:B484,"&gt;=1/1/1997",B1:B484,"&lt;=31/12/1997")</f>
        <v>0</v>
      </c>
    </row>
    <row r="111" spans="2:13">
      <c r="B111" s="429"/>
      <c r="L111" s="447">
        <v>1998</v>
      </c>
      <c r="M111" s="448">
        <f>COUNTIFS(B1:B485,"&gt;=1/1/1998",B1:B485,"&lt;=31/12/1998")</f>
        <v>0</v>
      </c>
    </row>
    <row r="112" spans="2:13">
      <c r="B112" s="429"/>
      <c r="L112" s="447">
        <v>1999</v>
      </c>
      <c r="M112" s="448">
        <f>COUNTIFS(B1:B486,"&gt;=1/1/1999",B1:B486,"&lt;=31/12/1999")</f>
        <v>0</v>
      </c>
    </row>
    <row r="113" spans="2:19">
      <c r="B113" s="429"/>
      <c r="L113" s="447">
        <v>2000</v>
      </c>
      <c r="M113" s="448">
        <f>COUNTIFS(B1:B487,"&gt;=1/1/2000",B1:B487,"&lt;=31/12/2000")</f>
        <v>0</v>
      </c>
    </row>
    <row r="114" spans="2:19">
      <c r="B114" s="429"/>
      <c r="L114" s="447">
        <v>2001</v>
      </c>
      <c r="M114" s="448">
        <f>COUNTIFS(B1:B488,"&gt;=1/1/2001",B1:B488,"&lt;=31/12/2001")</f>
        <v>0</v>
      </c>
    </row>
    <row r="115" spans="2:19">
      <c r="B115" s="429"/>
      <c r="L115" s="447">
        <v>2002</v>
      </c>
      <c r="M115" s="448">
        <f>COUNTIFS(B1:B489,"&gt;=1/1/2002",B1:B489,"&lt;=31/12/2002")</f>
        <v>0</v>
      </c>
    </row>
    <row r="116" spans="2:19">
      <c r="B116" s="429"/>
      <c r="L116" s="447">
        <v>2003</v>
      </c>
      <c r="M116" s="448">
        <f>COUNTIFS(B1:B490,"&gt;=1/1/2003",B1:B490,"&lt;=31/12/2003")</f>
        <v>0</v>
      </c>
    </row>
    <row r="117" spans="2:19">
      <c r="B117" s="429"/>
      <c r="L117" s="447">
        <v>2004</v>
      </c>
      <c r="M117" s="448">
        <f>COUNTIFS(B1:B491,"&gt;=1/1/2004",B1:B491,"&lt;=31/12/2004")</f>
        <v>0</v>
      </c>
    </row>
    <row r="118" spans="2:19">
      <c r="B118" s="429"/>
      <c r="L118" s="447">
        <v>2005</v>
      </c>
      <c r="M118" s="448">
        <f>COUNTIFS(B1:B492,"&gt;=1/1/2005",B1:B492,"&lt;=31/12/2005")</f>
        <v>0</v>
      </c>
    </row>
    <row r="119" spans="2:19">
      <c r="B119" s="429"/>
      <c r="L119" s="449">
        <v>2006</v>
      </c>
      <c r="M119" s="448">
        <f>COUNTIFS(B1:B493,"&gt;=1/1/2006",B1:B493,"&lt;=31/12/2006")</f>
        <v>0</v>
      </c>
    </row>
    <row r="120" spans="2:19">
      <c r="B120" s="429"/>
      <c r="L120" s="449">
        <v>2007</v>
      </c>
      <c r="M120" s="448">
        <f>COUNTIFS(B1:B494,"&gt;=1/1/2007",B1:B494,"&lt;=31/12/2007")</f>
        <v>0</v>
      </c>
    </row>
    <row r="121" spans="2:19">
      <c r="B121" s="429"/>
      <c r="L121" s="449">
        <v>2008</v>
      </c>
      <c r="M121" s="448">
        <f>COUNTIFS(B1:B495,"&gt;=1/1/2008",B1:B495,"&lt;=31/12/2008")</f>
        <v>0</v>
      </c>
      <c r="S121" s="425"/>
    </row>
    <row r="122" spans="2:19">
      <c r="B122" s="429"/>
      <c r="L122" s="449">
        <v>2009</v>
      </c>
      <c r="M122" s="448">
        <f>COUNTIFS(B1:B496,"&gt;=1/1/2009",B1:B496,"&lt;=31/12/2009")</f>
        <v>0</v>
      </c>
      <c r="S122" s="425"/>
    </row>
    <row r="123" spans="2:19">
      <c r="B123" s="429"/>
      <c r="L123" s="449">
        <v>2010</v>
      </c>
      <c r="M123" s="448">
        <f>COUNTIFS(B1:B497,"&gt;=1/1/2010",B1:B497,"&lt;=31/12/2010")</f>
        <v>0</v>
      </c>
      <c r="S123" s="425"/>
    </row>
    <row r="124" spans="2:19">
      <c r="B124" s="429"/>
      <c r="L124" s="449">
        <v>2011</v>
      </c>
      <c r="M124" s="448">
        <f>COUNTIFS(B1:B498,"&gt;=1/1/2011",B1:B498,"&lt;=31/12/2011")</f>
        <v>0</v>
      </c>
      <c r="S124" s="425"/>
    </row>
    <row r="125" spans="2:19">
      <c r="B125" s="429"/>
      <c r="L125" s="449">
        <v>2012</v>
      </c>
      <c r="M125" s="448">
        <f>COUNTIFS(B1:B499,"&gt;=1/1/2012",B1:B499,"&lt;=31/12/2012")</f>
        <v>0</v>
      </c>
      <c r="S125" s="425"/>
    </row>
    <row r="126" spans="2:19">
      <c r="B126" s="429"/>
      <c r="L126" s="449">
        <v>2013</v>
      </c>
      <c r="M126" s="448">
        <f>COUNTIFS(B1:B500,"&gt;=1/1/2013",B1:B500,"&lt;=31/12/2013")</f>
        <v>0</v>
      </c>
      <c r="S126" s="425"/>
    </row>
    <row r="127" spans="2:19">
      <c r="B127" s="429"/>
      <c r="L127" s="449">
        <v>2014</v>
      </c>
      <c r="M127" s="448">
        <f>COUNTIFS(B1:B501,"&gt;=1/1/2014",B1:B501,"&lt;=31/12/2014")</f>
        <v>0</v>
      </c>
      <c r="S127" s="425"/>
    </row>
    <row r="128" spans="2:19">
      <c r="B128" s="429"/>
      <c r="L128" s="449">
        <v>2015</v>
      </c>
      <c r="M128" s="448">
        <f>COUNTIFS(B1:B502,"&gt;=1/1/2015",B1:B502,"&lt;=31/12/2015")</f>
        <v>0</v>
      </c>
      <c r="S128" s="425"/>
    </row>
    <row r="129" spans="2:19">
      <c r="B129" s="429"/>
      <c r="L129" s="449">
        <v>2016</v>
      </c>
      <c r="M129" s="448">
        <f>COUNTIFS(B1:B503,"&gt;=1/1/2016",B1:B503,"&lt;=31/12/2016")</f>
        <v>0</v>
      </c>
      <c r="S129" s="425"/>
    </row>
    <row r="130" spans="2:19">
      <c r="B130" s="429"/>
      <c r="L130" s="449">
        <v>2017</v>
      </c>
      <c r="M130" s="448">
        <f>COUNTIFS(B1:B504,"&gt;=1/1/2017",B1:B504,"&lt;=31/12/2017")</f>
        <v>0</v>
      </c>
      <c r="S130" s="425"/>
    </row>
    <row r="131" spans="2:19">
      <c r="B131" s="429"/>
      <c r="L131" s="449">
        <v>2018</v>
      </c>
      <c r="M131" s="448">
        <f>COUNTIFS(B1:B505,"&gt;=1/1/2018",B1:B505,"&lt;=31/12/2018")</f>
        <v>0</v>
      </c>
      <c r="S131" s="425"/>
    </row>
    <row r="132" spans="2:19">
      <c r="B132" s="429"/>
      <c r="L132" s="449">
        <v>2019</v>
      </c>
      <c r="M132" s="448">
        <f>COUNTIFS(B1:B506,"&gt;=1/1/2019",B1:B506,"&lt;=31/12/2019")</f>
        <v>0</v>
      </c>
      <c r="S132" s="425"/>
    </row>
    <row r="133" spans="2:19">
      <c r="B133" s="429"/>
      <c r="L133" s="449">
        <v>2020</v>
      </c>
      <c r="M133" s="448">
        <f>COUNTIFS(B1:B507,"&gt;=1/1/2020",B1:B507,"&lt;=31/12/2020")</f>
        <v>0</v>
      </c>
      <c r="S133" s="425"/>
    </row>
    <row r="134" spans="2:19">
      <c r="B134" s="429"/>
      <c r="L134" s="449">
        <v>2021</v>
      </c>
      <c r="M134" s="448">
        <f>COUNTIFS(B1:B508,"&gt;=1/1/2021",B1:B508,"&lt;=31/12/2021")</f>
        <v>0</v>
      </c>
      <c r="S134" s="425"/>
    </row>
    <row r="135" spans="2:19">
      <c r="B135" s="429"/>
      <c r="L135" s="449">
        <v>2022</v>
      </c>
      <c r="M135" s="448">
        <f>COUNTIFS(B1:B509,"&gt;=1/1/2022",B1:B509,"&lt;=31/12/2022")</f>
        <v>0</v>
      </c>
      <c r="S135" s="425"/>
    </row>
    <row r="136" spans="2:19">
      <c r="B136" s="429"/>
      <c r="L136" s="449">
        <v>2023</v>
      </c>
      <c r="M136" s="448">
        <f>COUNTIFS(B1:B510,"&gt;=1/1/2023",B1:B510,"&lt;=31/12/2023")</f>
        <v>0</v>
      </c>
      <c r="S136" s="425"/>
    </row>
    <row r="137" spans="2:19">
      <c r="B137" s="429"/>
      <c r="L137" s="450" t="s">
        <v>660</v>
      </c>
      <c r="M137" s="7">
        <f>SUM(M13:M136)</f>
        <v>0</v>
      </c>
    </row>
    <row r="138" spans="2:19">
      <c r="B138" s="429"/>
    </row>
    <row r="139" spans="2:19">
      <c r="B139" s="429"/>
    </row>
    <row r="140" spans="2:19">
      <c r="B140" s="429"/>
    </row>
    <row r="141" spans="2:19">
      <c r="B141" s="429"/>
    </row>
    <row r="142" spans="2:19">
      <c r="B142" s="429"/>
    </row>
    <row r="143" spans="2:19">
      <c r="B143" s="429"/>
    </row>
    <row r="144" spans="2:19">
      <c r="B144" s="429"/>
    </row>
    <row r="145" spans="2:2">
      <c r="B145" s="429"/>
    </row>
    <row r="146" spans="2:2">
      <c r="B146" s="429"/>
    </row>
    <row r="147" spans="2:2">
      <c r="B147" s="429"/>
    </row>
    <row r="148" spans="2:2">
      <c r="B148" s="429"/>
    </row>
    <row r="149" spans="2:2">
      <c r="B149" s="429"/>
    </row>
    <row r="150" spans="2:2">
      <c r="B150" s="429"/>
    </row>
    <row r="151" spans="2:2">
      <c r="B151" s="429"/>
    </row>
    <row r="152" spans="2:2">
      <c r="B152" s="429"/>
    </row>
    <row r="153" spans="2:2">
      <c r="B153" s="429"/>
    </row>
    <row r="154" spans="2:2">
      <c r="B154" s="429"/>
    </row>
    <row r="155" spans="2:2">
      <c r="B155" s="429"/>
    </row>
    <row r="156" spans="2:2">
      <c r="B156" s="429"/>
    </row>
    <row r="157" spans="2:2">
      <c r="B157" s="429"/>
    </row>
    <row r="158" spans="2:2">
      <c r="B158" s="429"/>
    </row>
    <row r="159" spans="2:2">
      <c r="B159" s="429"/>
    </row>
    <row r="160" spans="2:2">
      <c r="B160" s="429"/>
    </row>
    <row r="161" spans="2:2">
      <c r="B161" s="429"/>
    </row>
    <row r="162" spans="2:2">
      <c r="B162" s="429"/>
    </row>
    <row r="163" spans="2:2">
      <c r="B163" s="429"/>
    </row>
    <row r="164" spans="2:2">
      <c r="B164" s="429"/>
    </row>
    <row r="165" spans="2:2">
      <c r="B165" s="429"/>
    </row>
    <row r="166" spans="2:2">
      <c r="B166" s="429"/>
    </row>
    <row r="167" spans="2:2">
      <c r="B167" s="429"/>
    </row>
    <row r="168" spans="2:2">
      <c r="B168" s="429"/>
    </row>
    <row r="169" spans="2:2">
      <c r="B169" s="429"/>
    </row>
    <row r="170" spans="2:2">
      <c r="B170" s="429"/>
    </row>
    <row r="171" spans="2:2">
      <c r="B171" s="429"/>
    </row>
    <row r="172" spans="2:2">
      <c r="B172" s="429"/>
    </row>
    <row r="173" spans="2:2">
      <c r="B173" s="429"/>
    </row>
    <row r="174" spans="2:2">
      <c r="B174" s="429"/>
    </row>
    <row r="175" spans="2:2">
      <c r="B175" s="429"/>
    </row>
    <row r="176" spans="2:2">
      <c r="B176" s="429"/>
    </row>
    <row r="177" spans="2:2">
      <c r="B177" s="429"/>
    </row>
    <row r="178" spans="2:2">
      <c r="B178" s="429"/>
    </row>
    <row r="179" spans="2:2">
      <c r="B179" s="429"/>
    </row>
    <row r="180" spans="2:2">
      <c r="B180" s="429"/>
    </row>
    <row r="181" spans="2:2">
      <c r="B181" s="429"/>
    </row>
    <row r="182" spans="2:2">
      <c r="B182" s="429"/>
    </row>
    <row r="183" spans="2:2">
      <c r="B183" s="429"/>
    </row>
    <row r="184" spans="2:2">
      <c r="B184" s="429"/>
    </row>
    <row r="185" spans="2:2">
      <c r="B185" s="429"/>
    </row>
    <row r="186" spans="2:2">
      <c r="B186" s="429"/>
    </row>
    <row r="187" spans="2:2">
      <c r="B187" s="429"/>
    </row>
    <row r="188" spans="2:2">
      <c r="B188" s="429"/>
    </row>
    <row r="189" spans="2:2">
      <c r="B189" s="429"/>
    </row>
    <row r="190" spans="2:2">
      <c r="B190" s="429"/>
    </row>
    <row r="191" spans="2:2">
      <c r="B191" s="429"/>
    </row>
    <row r="192" spans="2:2">
      <c r="B192" s="429"/>
    </row>
    <row r="193" spans="2:2">
      <c r="B193" s="429"/>
    </row>
    <row r="194" spans="2:2">
      <c r="B194" s="429"/>
    </row>
    <row r="195" spans="2:2">
      <c r="B195" s="429"/>
    </row>
    <row r="196" spans="2:2">
      <c r="B196" s="429"/>
    </row>
    <row r="197" spans="2:2">
      <c r="B197" s="429"/>
    </row>
    <row r="198" spans="2:2">
      <c r="B198" s="429"/>
    </row>
    <row r="199" spans="2:2">
      <c r="B199" s="429"/>
    </row>
    <row r="200" spans="2:2">
      <c r="B200" s="429"/>
    </row>
    <row r="201" spans="2:2">
      <c r="B201" s="429"/>
    </row>
    <row r="202" spans="2:2">
      <c r="B202" s="429"/>
    </row>
    <row r="203" spans="2:2">
      <c r="B203" s="429"/>
    </row>
    <row r="204" spans="2:2">
      <c r="B204" s="429"/>
    </row>
    <row r="205" spans="2:2">
      <c r="B205" s="429"/>
    </row>
    <row r="206" spans="2:2">
      <c r="B206" s="429"/>
    </row>
    <row r="207" spans="2:2">
      <c r="B207" s="429"/>
    </row>
    <row r="208" spans="2:2">
      <c r="B208" s="429"/>
    </row>
    <row r="209" spans="2:2">
      <c r="B209" s="429"/>
    </row>
    <row r="210" spans="2:2">
      <c r="B210" s="429"/>
    </row>
    <row r="211" spans="2:2">
      <c r="B211" s="429"/>
    </row>
    <row r="212" spans="2:2">
      <c r="B212" s="429"/>
    </row>
    <row r="213" spans="2:2">
      <c r="B213" s="429"/>
    </row>
    <row r="214" spans="2:2">
      <c r="B214" s="429"/>
    </row>
    <row r="215" spans="2:2">
      <c r="B215" s="429"/>
    </row>
    <row r="216" spans="2:2">
      <c r="B216" s="429"/>
    </row>
    <row r="217" spans="2:2">
      <c r="B217" s="429"/>
    </row>
    <row r="218" spans="2:2">
      <c r="B218" s="429"/>
    </row>
    <row r="219" spans="2:2">
      <c r="B219" s="429"/>
    </row>
    <row r="220" spans="2:2">
      <c r="B220" s="429"/>
    </row>
    <row r="221" spans="2:2">
      <c r="B221" s="429"/>
    </row>
    <row r="222" spans="2:2">
      <c r="B222" s="429"/>
    </row>
    <row r="223" spans="2:2">
      <c r="B223" s="429"/>
    </row>
    <row r="224" spans="2:2">
      <c r="B224" s="429"/>
    </row>
    <row r="225" spans="2:2">
      <c r="B225" s="429"/>
    </row>
    <row r="226" spans="2:2">
      <c r="B226" s="429"/>
    </row>
    <row r="227" spans="2:2">
      <c r="B227" s="429"/>
    </row>
    <row r="228" spans="2:2">
      <c r="B228" s="429"/>
    </row>
    <row r="229" spans="2:2">
      <c r="B229" s="429"/>
    </row>
    <row r="230" spans="2:2">
      <c r="B230" s="429"/>
    </row>
    <row r="231" spans="2:2">
      <c r="B231" s="429"/>
    </row>
    <row r="232" spans="2:2">
      <c r="B232" s="429"/>
    </row>
    <row r="233" spans="2:2">
      <c r="B233" s="429"/>
    </row>
    <row r="234" spans="2:2">
      <c r="B234" s="429"/>
    </row>
    <row r="235" spans="2:2">
      <c r="B235" s="429"/>
    </row>
    <row r="236" spans="2:2">
      <c r="B236" s="429"/>
    </row>
    <row r="237" spans="2:2">
      <c r="B237" s="429"/>
    </row>
    <row r="238" spans="2:2">
      <c r="B238" s="429"/>
    </row>
    <row r="239" spans="2:2">
      <c r="B239" s="429"/>
    </row>
    <row r="240" spans="2:2">
      <c r="B240" s="429"/>
    </row>
    <row r="241" spans="2:2">
      <c r="B241" s="429"/>
    </row>
    <row r="242" spans="2:2">
      <c r="B242" s="429"/>
    </row>
    <row r="243" spans="2:2">
      <c r="B243" s="429"/>
    </row>
    <row r="244" spans="2:2">
      <c r="B244" s="429"/>
    </row>
    <row r="245" spans="2:2">
      <c r="B245" s="429"/>
    </row>
    <row r="246" spans="2:2">
      <c r="B246" s="429"/>
    </row>
    <row r="247" spans="2:2">
      <c r="B247" s="429"/>
    </row>
    <row r="248" spans="2:2">
      <c r="B248" s="429"/>
    </row>
    <row r="249" spans="2:2">
      <c r="B249" s="429"/>
    </row>
    <row r="250" spans="2:2">
      <c r="B250" s="429"/>
    </row>
    <row r="251" spans="2:2">
      <c r="B251" s="429"/>
    </row>
    <row r="252" spans="2:2">
      <c r="B252" s="429"/>
    </row>
    <row r="253" spans="2:2">
      <c r="B253" s="429"/>
    </row>
    <row r="254" spans="2:2">
      <c r="B254" s="429"/>
    </row>
    <row r="255" spans="2:2">
      <c r="B255" s="429"/>
    </row>
    <row r="256" spans="2:2">
      <c r="B256" s="429"/>
    </row>
    <row r="257" spans="2:2">
      <c r="B257" s="429"/>
    </row>
    <row r="258" spans="2:2">
      <c r="B258" s="429"/>
    </row>
    <row r="259" spans="2:2">
      <c r="B259" s="429"/>
    </row>
    <row r="260" spans="2:2">
      <c r="B260" s="429"/>
    </row>
    <row r="261" spans="2:2">
      <c r="B261" s="429"/>
    </row>
    <row r="262" spans="2:2">
      <c r="B262" s="429"/>
    </row>
    <row r="263" spans="2:2">
      <c r="B263" s="429"/>
    </row>
    <row r="264" spans="2:2">
      <c r="B264" s="429"/>
    </row>
    <row r="265" spans="2:2">
      <c r="B265" s="429"/>
    </row>
    <row r="266" spans="2:2">
      <c r="B266" s="429"/>
    </row>
    <row r="267" spans="2:2">
      <c r="B267" s="429"/>
    </row>
    <row r="268" spans="2:2">
      <c r="B268" s="429"/>
    </row>
    <row r="269" spans="2:2">
      <c r="B269" s="429"/>
    </row>
    <row r="270" spans="2:2">
      <c r="B270" s="429"/>
    </row>
    <row r="271" spans="2:2">
      <c r="B271" s="429"/>
    </row>
    <row r="272" spans="2:2">
      <c r="B272" s="429"/>
    </row>
    <row r="273" spans="2:2">
      <c r="B273" s="429"/>
    </row>
    <row r="274" spans="2:2">
      <c r="B274" s="429"/>
    </row>
    <row r="275" spans="2:2">
      <c r="B275" s="429"/>
    </row>
    <row r="276" spans="2:2">
      <c r="B276" s="429"/>
    </row>
    <row r="277" spans="2:2">
      <c r="B277" s="429"/>
    </row>
    <row r="278" spans="2:2">
      <c r="B278" s="429"/>
    </row>
    <row r="279" spans="2:2">
      <c r="B279" s="429"/>
    </row>
    <row r="280" spans="2:2">
      <c r="B280" s="429"/>
    </row>
    <row r="281" spans="2:2">
      <c r="B281" s="429"/>
    </row>
    <row r="282" spans="2:2">
      <c r="B282" s="429"/>
    </row>
    <row r="283" spans="2:2">
      <c r="B283" s="429"/>
    </row>
    <row r="284" spans="2:2">
      <c r="B284" s="429"/>
    </row>
    <row r="285" spans="2:2">
      <c r="B285" s="429"/>
    </row>
    <row r="286" spans="2:2">
      <c r="B286" s="429"/>
    </row>
    <row r="287" spans="2:2">
      <c r="B287" s="429"/>
    </row>
    <row r="288" spans="2:2">
      <c r="B288" s="429"/>
    </row>
    <row r="289" spans="2:2">
      <c r="B289" s="429"/>
    </row>
    <row r="290" spans="2:2">
      <c r="B290" s="429"/>
    </row>
    <row r="291" spans="2:2">
      <c r="B291" s="429"/>
    </row>
    <row r="292" spans="2:2">
      <c r="B292" s="429"/>
    </row>
    <row r="293" spans="2:2">
      <c r="B293" s="429"/>
    </row>
    <row r="294" spans="2:2">
      <c r="B294" s="429"/>
    </row>
    <row r="295" spans="2:2">
      <c r="B295" s="429"/>
    </row>
    <row r="296" spans="2:2">
      <c r="B296" s="429"/>
    </row>
    <row r="297" spans="2:2">
      <c r="B297" s="429"/>
    </row>
    <row r="298" spans="2:2">
      <c r="B298" s="429"/>
    </row>
    <row r="299" spans="2:2">
      <c r="B299" s="429"/>
    </row>
    <row r="300" spans="2:2">
      <c r="B300" s="429"/>
    </row>
    <row r="301" spans="2:2">
      <c r="B301" s="429"/>
    </row>
    <row r="302" spans="2:2">
      <c r="B302" s="429"/>
    </row>
    <row r="303" spans="2:2">
      <c r="B303" s="429"/>
    </row>
    <row r="304" spans="2:2">
      <c r="B304" s="429"/>
    </row>
    <row r="305" spans="2:2">
      <c r="B305" s="429"/>
    </row>
    <row r="306" spans="2:2">
      <c r="B306" s="429"/>
    </row>
    <row r="307" spans="2:2">
      <c r="B307" s="429"/>
    </row>
    <row r="308" spans="2:2">
      <c r="B308" s="429"/>
    </row>
    <row r="309" spans="2:2">
      <c r="B309" s="429"/>
    </row>
    <row r="310" spans="2:2">
      <c r="B310" s="429"/>
    </row>
    <row r="311" spans="2:2">
      <c r="B311" s="429"/>
    </row>
    <row r="312" spans="2:2">
      <c r="B312" s="429"/>
    </row>
    <row r="313" spans="2:2">
      <c r="B313" s="429"/>
    </row>
    <row r="314" spans="2:2">
      <c r="B314" s="429"/>
    </row>
    <row r="315" spans="2:2">
      <c r="B315" s="429"/>
    </row>
    <row r="316" spans="2:2">
      <c r="B316" s="429"/>
    </row>
    <row r="317" spans="2:2">
      <c r="B317" s="429"/>
    </row>
    <row r="318" spans="2:2">
      <c r="B318" s="429"/>
    </row>
    <row r="319" spans="2:2">
      <c r="B319" s="429"/>
    </row>
    <row r="320" spans="2:2">
      <c r="B320" s="429"/>
    </row>
    <row r="321" spans="2:2">
      <c r="B321" s="429"/>
    </row>
    <row r="322" spans="2:2">
      <c r="B322" s="429"/>
    </row>
    <row r="323" spans="2:2">
      <c r="B323" s="429"/>
    </row>
    <row r="324" spans="2:2">
      <c r="B324" s="429"/>
    </row>
    <row r="325" spans="2:2">
      <c r="B325" s="429"/>
    </row>
    <row r="326" spans="2:2">
      <c r="B326" s="429"/>
    </row>
    <row r="327" spans="2:2">
      <c r="B327" s="429"/>
    </row>
    <row r="328" spans="2:2">
      <c r="B328" s="429"/>
    </row>
    <row r="329" spans="2:2">
      <c r="B329" s="429"/>
    </row>
    <row r="330" spans="2:2">
      <c r="B330" s="429"/>
    </row>
    <row r="331" spans="2:2">
      <c r="B331" s="429"/>
    </row>
    <row r="332" spans="2:2">
      <c r="B332" s="429"/>
    </row>
    <row r="333" spans="2:2">
      <c r="B333" s="429"/>
    </row>
    <row r="334" spans="2:2">
      <c r="B334" s="429"/>
    </row>
    <row r="335" spans="2:2">
      <c r="B335" s="429"/>
    </row>
    <row r="336" spans="2:2">
      <c r="B336" s="429"/>
    </row>
    <row r="337" spans="2:2">
      <c r="B337" s="429"/>
    </row>
    <row r="338" spans="2:2">
      <c r="B338" s="429"/>
    </row>
    <row r="339" spans="2:2">
      <c r="B339" s="429"/>
    </row>
    <row r="340" spans="2:2">
      <c r="B340" s="429"/>
    </row>
    <row r="341" spans="2:2">
      <c r="B341" s="429"/>
    </row>
    <row r="342" spans="2:2">
      <c r="B342" s="429"/>
    </row>
    <row r="343" spans="2:2">
      <c r="B343" s="429"/>
    </row>
    <row r="344" spans="2:2">
      <c r="B344" s="429"/>
    </row>
    <row r="345" spans="2:2">
      <c r="B345" s="429"/>
    </row>
    <row r="346" spans="2:2">
      <c r="B346" s="429"/>
    </row>
    <row r="347" spans="2:2">
      <c r="B347" s="429"/>
    </row>
    <row r="348" spans="2:2">
      <c r="B348" s="429"/>
    </row>
    <row r="349" spans="2:2">
      <c r="B349" s="429"/>
    </row>
    <row r="350" spans="2:2">
      <c r="B350" s="429"/>
    </row>
    <row r="351" spans="2:2">
      <c r="B351" s="429"/>
    </row>
    <row r="352" spans="2:2">
      <c r="B352" s="429"/>
    </row>
    <row r="353" spans="2:2">
      <c r="B353" s="429"/>
    </row>
    <row r="354" spans="2:2">
      <c r="B354" s="429"/>
    </row>
    <row r="355" spans="2:2">
      <c r="B355" s="429"/>
    </row>
    <row r="356" spans="2:2">
      <c r="B356" s="429"/>
    </row>
    <row r="357" spans="2:2">
      <c r="B357" s="429"/>
    </row>
    <row r="358" spans="2:2">
      <c r="B358" s="429"/>
    </row>
    <row r="359" spans="2:2">
      <c r="B359" s="429"/>
    </row>
    <row r="360" spans="2:2">
      <c r="B360" s="429"/>
    </row>
    <row r="361" spans="2:2">
      <c r="B361" s="429"/>
    </row>
    <row r="362" spans="2:2">
      <c r="B362" s="429"/>
    </row>
    <row r="363" spans="2:2">
      <c r="B363" s="429"/>
    </row>
    <row r="364" spans="2:2">
      <c r="B364" s="429"/>
    </row>
    <row r="365" spans="2:2">
      <c r="B365" s="429"/>
    </row>
    <row r="366" spans="2:2">
      <c r="B366" s="429"/>
    </row>
    <row r="367" spans="2:2">
      <c r="B367" s="429"/>
    </row>
    <row r="368" spans="2:2">
      <c r="B368" s="429"/>
    </row>
    <row r="369" spans="2:2">
      <c r="B369" s="429"/>
    </row>
    <row r="370" spans="2:2">
      <c r="B370" s="429"/>
    </row>
    <row r="371" spans="2:2">
      <c r="B371" s="429"/>
    </row>
    <row r="372" spans="2:2">
      <c r="B372" s="429"/>
    </row>
    <row r="373" spans="2:2">
      <c r="B373" s="429"/>
    </row>
    <row r="374" spans="2:2">
      <c r="B374" s="429"/>
    </row>
    <row r="375" spans="2:2">
      <c r="B375" s="429"/>
    </row>
    <row r="376" spans="2:2">
      <c r="B376" s="429"/>
    </row>
    <row r="377" spans="2:2">
      <c r="B377" s="429"/>
    </row>
    <row r="378" spans="2:2">
      <c r="B378" s="429"/>
    </row>
    <row r="379" spans="2:2">
      <c r="B379" s="429"/>
    </row>
    <row r="380" spans="2:2">
      <c r="B380" s="429"/>
    </row>
    <row r="381" spans="2:2">
      <c r="B381" s="429"/>
    </row>
    <row r="382" spans="2:2">
      <c r="B382" s="429"/>
    </row>
    <row r="383" spans="2:2">
      <c r="B383" s="429"/>
    </row>
    <row r="384" spans="2:2">
      <c r="B384" s="429"/>
    </row>
    <row r="385" spans="2:2">
      <c r="B385" s="429"/>
    </row>
    <row r="386" spans="2:2">
      <c r="B386" s="429"/>
    </row>
    <row r="387" spans="2:2">
      <c r="B387" s="429"/>
    </row>
    <row r="388" spans="2:2">
      <c r="B388" s="429"/>
    </row>
    <row r="389" spans="2:2">
      <c r="B389" s="429"/>
    </row>
    <row r="390" spans="2:2">
      <c r="B390" s="429"/>
    </row>
    <row r="391" spans="2:2">
      <c r="B391" s="429"/>
    </row>
    <row r="392" spans="2:2">
      <c r="B392" s="429"/>
    </row>
    <row r="393" spans="2:2">
      <c r="B393" s="429"/>
    </row>
    <row r="394" spans="2:2">
      <c r="B394" s="429"/>
    </row>
    <row r="395" spans="2:2" ht="15" customHeight="1">
      <c r="B395" s="429"/>
    </row>
    <row r="396" spans="2:2">
      <c r="B396" s="429"/>
    </row>
    <row r="397" spans="2:2">
      <c r="B397" s="429"/>
    </row>
    <row r="398" spans="2:2">
      <c r="B398" s="429"/>
    </row>
    <row r="399" spans="2:2">
      <c r="B399" s="429"/>
    </row>
    <row r="400" spans="2:2">
      <c r="B400" s="429"/>
    </row>
    <row r="401" spans="2:2">
      <c r="B401" s="429"/>
    </row>
    <row r="402" spans="2:2">
      <c r="B402" s="429"/>
    </row>
    <row r="403" spans="2:2">
      <c r="B403" s="429"/>
    </row>
    <row r="404" spans="2:2">
      <c r="B404" s="429"/>
    </row>
    <row r="405" spans="2:2">
      <c r="B405" s="429"/>
    </row>
    <row r="406" spans="2:2">
      <c r="B406" s="429"/>
    </row>
    <row r="407" spans="2:2">
      <c r="B407" s="429"/>
    </row>
    <row r="408" spans="2:2">
      <c r="B408" s="429"/>
    </row>
    <row r="409" spans="2:2">
      <c r="B409" s="429"/>
    </row>
    <row r="410" spans="2:2">
      <c r="B410" s="429"/>
    </row>
    <row r="411" spans="2:2">
      <c r="B411" s="429"/>
    </row>
    <row r="412" spans="2:2">
      <c r="B412" s="429"/>
    </row>
    <row r="413" spans="2:2">
      <c r="B413" s="429"/>
    </row>
    <row r="414" spans="2:2">
      <c r="B414" s="429"/>
    </row>
    <row r="415" spans="2:2">
      <c r="B415" s="429"/>
    </row>
    <row r="416" spans="2:2">
      <c r="B416" s="429"/>
    </row>
    <row r="417" spans="2:2">
      <c r="B417" s="429"/>
    </row>
    <row r="418" spans="2:2">
      <c r="B418" s="429"/>
    </row>
    <row r="419" spans="2:2">
      <c r="B419" s="429"/>
    </row>
    <row r="420" spans="2:2">
      <c r="B420" s="429"/>
    </row>
    <row r="421" spans="2:2">
      <c r="B421" s="429"/>
    </row>
    <row r="422" spans="2:2">
      <c r="B422" s="429"/>
    </row>
    <row r="423" spans="2:2">
      <c r="B423" s="429"/>
    </row>
    <row r="424" spans="2:2">
      <c r="B424" s="429"/>
    </row>
    <row r="425" spans="2:2">
      <c r="B425" s="429"/>
    </row>
    <row r="426" spans="2:2">
      <c r="B426" s="429"/>
    </row>
    <row r="427" spans="2:2">
      <c r="B427" s="429"/>
    </row>
    <row r="428" spans="2:2">
      <c r="B428" s="429"/>
    </row>
    <row r="429" spans="2:2">
      <c r="B429" s="429"/>
    </row>
    <row r="430" spans="2:2">
      <c r="B430" s="429"/>
    </row>
    <row r="431" spans="2:2">
      <c r="B431" s="429"/>
    </row>
    <row r="432" spans="2:2">
      <c r="B432" s="429"/>
    </row>
    <row r="433" spans="2:2">
      <c r="B433" s="429"/>
    </row>
    <row r="434" spans="2:2">
      <c r="B434" s="429"/>
    </row>
    <row r="435" spans="2:2">
      <c r="B435" s="429"/>
    </row>
    <row r="436" spans="2:2">
      <c r="B436" s="429"/>
    </row>
    <row r="437" spans="2:2">
      <c r="B437" s="429"/>
    </row>
    <row r="438" spans="2:2">
      <c r="B438" s="429"/>
    </row>
    <row r="439" spans="2:2">
      <c r="B439" s="429"/>
    </row>
    <row r="440" spans="2:2">
      <c r="B440" s="429"/>
    </row>
    <row r="441" spans="2:2">
      <c r="B441" s="429"/>
    </row>
    <row r="442" spans="2:2">
      <c r="B442" s="429"/>
    </row>
    <row r="443" spans="2:2">
      <c r="B443" s="429"/>
    </row>
    <row r="444" spans="2:2">
      <c r="B444" s="429"/>
    </row>
    <row r="445" spans="2:2">
      <c r="B445" s="429"/>
    </row>
    <row r="446" spans="2:2">
      <c r="B446" s="429"/>
    </row>
    <row r="447" spans="2:2">
      <c r="B447" s="429"/>
    </row>
    <row r="448" spans="2:2">
      <c r="B448" s="429"/>
    </row>
    <row r="449" spans="2:2">
      <c r="B449" s="429"/>
    </row>
    <row r="450" spans="2:2">
      <c r="B450" s="429"/>
    </row>
    <row r="451" spans="2:2">
      <c r="B451" s="429"/>
    </row>
    <row r="452" spans="2:2">
      <c r="B452" s="429"/>
    </row>
    <row r="453" spans="2:2">
      <c r="B453" s="429"/>
    </row>
    <row r="454" spans="2:2">
      <c r="B454" s="429"/>
    </row>
    <row r="455" spans="2:2">
      <c r="B455" s="429"/>
    </row>
    <row r="456" spans="2:2">
      <c r="B456" s="429"/>
    </row>
    <row r="457" spans="2:2">
      <c r="B457" s="429"/>
    </row>
    <row r="458" spans="2:2">
      <c r="B458" s="429"/>
    </row>
    <row r="459" spans="2:2">
      <c r="B459" s="429"/>
    </row>
    <row r="460" spans="2:2">
      <c r="B460" s="429"/>
    </row>
    <row r="461" spans="2:2">
      <c r="B461" s="429"/>
    </row>
    <row r="462" spans="2:2">
      <c r="B462" s="429"/>
    </row>
    <row r="463" spans="2:2">
      <c r="B463" s="429"/>
    </row>
    <row r="464" spans="2:2">
      <c r="B464" s="429"/>
    </row>
    <row r="465" spans="2:2">
      <c r="B465" s="429"/>
    </row>
    <row r="466" spans="2:2">
      <c r="B466" s="429"/>
    </row>
    <row r="467" spans="2:2">
      <c r="B467" s="429"/>
    </row>
    <row r="468" spans="2:2">
      <c r="B468" s="429"/>
    </row>
    <row r="469" spans="2:2">
      <c r="B469" s="429"/>
    </row>
    <row r="470" spans="2:2">
      <c r="B470" s="429"/>
    </row>
    <row r="471" spans="2:2">
      <c r="B471" s="429"/>
    </row>
    <row r="472" spans="2:2">
      <c r="B472" s="429"/>
    </row>
    <row r="473" spans="2:2">
      <c r="B473" s="429"/>
    </row>
    <row r="474" spans="2:2">
      <c r="B474" s="429"/>
    </row>
    <row r="475" spans="2:2">
      <c r="B475" s="429"/>
    </row>
    <row r="476" spans="2:2">
      <c r="B476" s="429"/>
    </row>
    <row r="477" spans="2:2">
      <c r="B477" s="429"/>
    </row>
    <row r="478" spans="2:2">
      <c r="B478" s="429"/>
    </row>
    <row r="479" spans="2:2">
      <c r="B479" s="429"/>
    </row>
    <row r="480" spans="2:2">
      <c r="B480" s="429"/>
    </row>
    <row r="481" spans="2:2">
      <c r="B481" s="429"/>
    </row>
    <row r="482" spans="2:2">
      <c r="B482" s="429"/>
    </row>
    <row r="483" spans="2:2">
      <c r="B483" s="429"/>
    </row>
    <row r="484" spans="2:2">
      <c r="B484" s="429"/>
    </row>
    <row r="485" spans="2:2">
      <c r="B485" s="429"/>
    </row>
    <row r="486" spans="2:2">
      <c r="B486" s="429"/>
    </row>
    <row r="487" spans="2:2">
      <c r="B487" s="429"/>
    </row>
    <row r="488" spans="2:2">
      <c r="B488" s="429"/>
    </row>
    <row r="489" spans="2:2">
      <c r="B489" s="429"/>
    </row>
    <row r="490" spans="2:2">
      <c r="B490" s="429"/>
    </row>
    <row r="491" spans="2:2">
      <c r="B491" s="429"/>
    </row>
    <row r="492" spans="2:2">
      <c r="B492" s="429"/>
    </row>
    <row r="493" spans="2:2">
      <c r="B493" s="429"/>
    </row>
    <row r="494" spans="2:2">
      <c r="B494" s="429"/>
    </row>
    <row r="495" spans="2:2">
      <c r="B495" s="429"/>
    </row>
    <row r="496" spans="2:2">
      <c r="B496" s="429"/>
    </row>
    <row r="497" spans="2:2">
      <c r="B497" s="429"/>
    </row>
    <row r="498" spans="2:2">
      <c r="B498" s="429"/>
    </row>
    <row r="499" spans="2:2">
      <c r="B499" s="429"/>
    </row>
    <row r="500" spans="2:2">
      <c r="B500" s="429"/>
    </row>
    <row r="501" spans="2:2">
      <c r="B501" s="429"/>
    </row>
    <row r="502" spans="2:2">
      <c r="B502" s="429"/>
    </row>
    <row r="503" spans="2:2">
      <c r="B503" s="429"/>
    </row>
    <row r="504" spans="2:2">
      <c r="B504" s="429"/>
    </row>
    <row r="505" spans="2:2">
      <c r="B505" s="429"/>
    </row>
    <row r="506" spans="2:2">
      <c r="B506" s="429"/>
    </row>
    <row r="507" spans="2:2">
      <c r="B507" s="429"/>
    </row>
    <row r="508" spans="2:2">
      <c r="B508" s="429"/>
    </row>
    <row r="509" spans="2:2">
      <c r="B509" s="429"/>
    </row>
    <row r="510" spans="2:2">
      <c r="B510" s="429"/>
    </row>
    <row r="511" spans="2:2">
      <c r="B511" s="429"/>
    </row>
    <row r="512" spans="2:2">
      <c r="B512" s="429"/>
    </row>
    <row r="513" spans="2:2">
      <c r="B513" s="429"/>
    </row>
    <row r="514" spans="2:2">
      <c r="B514" s="429"/>
    </row>
    <row r="515" spans="2:2">
      <c r="B515" s="429"/>
    </row>
    <row r="516" spans="2:2">
      <c r="B516" s="429"/>
    </row>
    <row r="517" spans="2:2">
      <c r="B517" s="429"/>
    </row>
    <row r="518" spans="2:2">
      <c r="B518" s="429"/>
    </row>
    <row r="519" spans="2:2">
      <c r="B519" s="429"/>
    </row>
    <row r="520" spans="2:2">
      <c r="B520" s="429"/>
    </row>
    <row r="521" spans="2:2">
      <c r="B521" s="429"/>
    </row>
    <row r="522" spans="2:2">
      <c r="B522" s="429"/>
    </row>
    <row r="523" spans="2:2">
      <c r="B523" s="429"/>
    </row>
    <row r="524" spans="2:2">
      <c r="B524" s="429"/>
    </row>
    <row r="525" spans="2:2">
      <c r="B525" s="429"/>
    </row>
    <row r="526" spans="2:2">
      <c r="B526" s="429"/>
    </row>
    <row r="527" spans="2:2">
      <c r="B527" s="429"/>
    </row>
    <row r="528" spans="2:2">
      <c r="B528" s="429"/>
    </row>
    <row r="529" spans="2:2">
      <c r="B529" s="429"/>
    </row>
    <row r="530" spans="2:2">
      <c r="B530" s="429"/>
    </row>
    <row r="531" spans="2:2">
      <c r="B531" s="429"/>
    </row>
    <row r="532" spans="2:2">
      <c r="B532" s="429"/>
    </row>
    <row r="533" spans="2:2">
      <c r="B533" s="429"/>
    </row>
    <row r="534" spans="2:2">
      <c r="B534" s="429"/>
    </row>
    <row r="535" spans="2:2">
      <c r="B535" s="429"/>
    </row>
    <row r="536" spans="2:2">
      <c r="B536" s="429"/>
    </row>
    <row r="537" spans="2:2">
      <c r="B537" s="429"/>
    </row>
    <row r="538" spans="2:2">
      <c r="B538" s="429"/>
    </row>
    <row r="539" spans="2:2">
      <c r="B539" s="429"/>
    </row>
    <row r="540" spans="2:2">
      <c r="B540" s="429"/>
    </row>
    <row r="541" spans="2:2">
      <c r="B541" s="429"/>
    </row>
    <row r="542" spans="2:2">
      <c r="B542" s="429"/>
    </row>
    <row r="543" spans="2:2">
      <c r="B543" s="429"/>
    </row>
    <row r="544" spans="2:2">
      <c r="B544" s="429"/>
    </row>
    <row r="545" spans="2:2">
      <c r="B545" s="429"/>
    </row>
    <row r="546" spans="2:2">
      <c r="B546" s="429"/>
    </row>
    <row r="547" spans="2:2">
      <c r="B547" s="429"/>
    </row>
    <row r="548" spans="2:2">
      <c r="B548" s="429"/>
    </row>
    <row r="549" spans="2:2">
      <c r="B549" s="429"/>
    </row>
    <row r="550" spans="2:2">
      <c r="B550" s="429"/>
    </row>
  </sheetData>
  <sheetProtection password="EF3A" sheet="1" objects="1" scenarios="1"/>
  <mergeCells count="9">
    <mergeCell ref="A1:K1"/>
    <mergeCell ref="H2:K2"/>
    <mergeCell ref="X8:Y8"/>
    <mergeCell ref="V3:Z3"/>
    <mergeCell ref="Y30:AA30"/>
    <mergeCell ref="W29:W30"/>
    <mergeCell ref="V15:AA15"/>
    <mergeCell ref="W21:Z21"/>
    <mergeCell ref="W22:X22"/>
  </mergeCells>
  <conditionalFormatting sqref="F74">
    <cfRule type="cellIs" dxfId="30" priority="4" operator="equal">
      <formula>$M$10</formula>
    </cfRule>
  </conditionalFormatting>
  <conditionalFormatting sqref="G1:G1048576">
    <cfRule type="cellIs" dxfId="29" priority="1" operator="equal">
      <formula>$M$10</formula>
    </cfRule>
  </conditionalFormatting>
  <conditionalFormatting sqref="G3:G73">
    <cfRule type="cellIs" dxfId="28" priority="3" operator="equal">
      <formula>$M$11</formula>
    </cfRule>
  </conditionalFormatting>
  <conditionalFormatting sqref="G3:G90">
    <cfRule type="cellIs" dxfId="27" priority="2" operator="equal">
      <formula>#REF!</formula>
    </cfRule>
  </conditionalFormatting>
  <conditionalFormatting sqref="H74">
    <cfRule type="cellIs" dxfId="26" priority="7" operator="equal">
      <formula>$M$10</formula>
    </cfRule>
    <cfRule type="cellIs" dxfId="25" priority="8" operator="equal">
      <formula>#REF!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2"/>
  <sheetViews>
    <sheetView showGridLines="0" showRowColHeaders="0" workbookViewId="0">
      <selection activeCell="R33" sqref="R33"/>
    </sheetView>
  </sheetViews>
  <sheetFormatPr defaultRowHeight="15"/>
  <cols>
    <col min="2" max="2" width="19.5703125" customWidth="1"/>
    <col min="3" max="3" width="14.85546875" customWidth="1"/>
    <col min="6" max="6" width="8.7109375" customWidth="1"/>
  </cols>
  <sheetData>
    <row r="2" spans="2:20" ht="18.75">
      <c r="B2" s="1714" t="s">
        <v>601</v>
      </c>
      <c r="C2" s="1715"/>
      <c r="D2" s="1715"/>
      <c r="E2" s="1715"/>
      <c r="F2" s="1715"/>
      <c r="G2" s="1715"/>
      <c r="H2" s="1715"/>
      <c r="I2" s="1715"/>
      <c r="J2" s="1715"/>
      <c r="K2" s="1715"/>
    </row>
    <row r="4" spans="2:20" ht="15.75" thickBot="1"/>
    <row r="5" spans="2:20" ht="15.75" thickBot="1">
      <c r="B5" s="1717" t="s">
        <v>576</v>
      </c>
      <c r="C5" s="1718"/>
      <c r="D5" s="1718"/>
      <c r="E5" s="1718"/>
      <c r="F5" s="1718"/>
      <c r="G5" s="1718"/>
      <c r="H5" s="1718"/>
      <c r="I5" s="1718"/>
      <c r="J5" s="1718"/>
      <c r="K5" s="1719"/>
    </row>
    <row r="6" spans="2:20" ht="15.75" thickBot="1">
      <c r="B6" s="1438" t="s">
        <v>571</v>
      </c>
      <c r="C6" s="1440"/>
      <c r="D6" s="731">
        <f>'P dalga Hızı'!E17</f>
        <v>0</v>
      </c>
      <c r="E6" s="732">
        <f>'P dalga Hızı'!F17</f>
        <v>0</v>
      </c>
      <c r="F6" s="1575" t="str">
        <f>'P dalga Hızı'!G17</f>
        <v xml:space="preserve"> </v>
      </c>
      <c r="G6" s="1576"/>
      <c r="H6" s="1575" t="str">
        <f>'P dalga Hızı'!H17</f>
        <v xml:space="preserve"> </v>
      </c>
      <c r="I6" s="1576"/>
      <c r="J6" s="1725" t="s">
        <v>575</v>
      </c>
      <c r="K6" s="1726"/>
    </row>
    <row r="7" spans="2:20" ht="15.75" thickBot="1">
      <c r="B7" s="1438" t="s">
        <v>572</v>
      </c>
      <c r="C7" s="1440"/>
      <c r="D7" s="733">
        <f>'P dalga Hızı'!E18</f>
        <v>0</v>
      </c>
      <c r="E7" s="734">
        <f>'P dalga Hızı'!F18</f>
        <v>0</v>
      </c>
      <c r="F7" s="1732" t="str">
        <f>'P dalga Hızı'!G18</f>
        <v/>
      </c>
      <c r="G7" s="1733"/>
      <c r="H7" s="1730" t="str">
        <f>'P dalga Hızı'!H18</f>
        <v/>
      </c>
      <c r="I7" s="1731"/>
      <c r="J7" s="1727"/>
      <c r="K7" s="1728"/>
    </row>
    <row r="8" spans="2:20" ht="15.75" thickBot="1">
      <c r="B8" s="370"/>
      <c r="C8" s="370"/>
      <c r="D8" s="370"/>
      <c r="E8" s="370"/>
      <c r="F8" s="370"/>
      <c r="G8" s="370"/>
      <c r="H8" s="370"/>
      <c r="I8" s="370"/>
      <c r="J8" s="370"/>
      <c r="K8" s="370"/>
    </row>
    <row r="9" spans="2:20" ht="15.75" thickBot="1">
      <c r="B9" s="1720" t="s">
        <v>577</v>
      </c>
      <c r="C9" s="1721"/>
      <c r="D9" s="1721"/>
      <c r="E9" s="1721"/>
      <c r="F9" s="1721"/>
      <c r="G9" s="1721"/>
      <c r="H9" s="1721"/>
      <c r="I9" s="1721"/>
      <c r="J9" s="1721"/>
      <c r="K9" s="1722"/>
      <c r="M9" s="963" t="s">
        <v>566</v>
      </c>
      <c r="N9" s="964"/>
      <c r="P9" s="963" t="s">
        <v>600</v>
      </c>
      <c r="Q9" s="964"/>
      <c r="S9" s="963" t="s">
        <v>605</v>
      </c>
      <c r="T9" s="964"/>
    </row>
    <row r="10" spans="2:20" ht="15.75" thickBot="1">
      <c r="B10" s="1438" t="s">
        <v>573</v>
      </c>
      <c r="C10" s="1440"/>
      <c r="D10" s="735">
        <f>'S dalga Hızı'!F17</f>
        <v>0</v>
      </c>
      <c r="E10" s="735">
        <f>'S dalga Hızı'!G17</f>
        <v>0</v>
      </c>
      <c r="F10" s="1729" t="str">
        <f>'S dalga Hızı'!H17</f>
        <v/>
      </c>
      <c r="G10" s="1729"/>
      <c r="H10" s="1729" t="str">
        <f>'S dalga Hızı'!I17</f>
        <v/>
      </c>
      <c r="I10" s="1729"/>
      <c r="J10" s="1725" t="s">
        <v>575</v>
      </c>
      <c r="K10" s="1726"/>
      <c r="M10" s="335" t="s">
        <v>595</v>
      </c>
      <c r="N10" s="348" t="str">
        <f>'S dalga Hızı'!B35</f>
        <v/>
      </c>
      <c r="P10" s="335" t="s">
        <v>595</v>
      </c>
      <c r="Q10" s="350">
        <f>DES!K17</f>
        <v>0</v>
      </c>
      <c r="S10" s="335" t="s">
        <v>595</v>
      </c>
      <c r="T10" s="363">
        <f>DES!U34</f>
        <v>49.21</v>
      </c>
    </row>
    <row r="11" spans="2:20" ht="15.75" thickBot="1">
      <c r="B11" s="1438" t="s">
        <v>574</v>
      </c>
      <c r="C11" s="1440"/>
      <c r="D11" s="736">
        <f>'S dalga Hızı'!F18</f>
        <v>0</v>
      </c>
      <c r="E11" s="736">
        <f>'S dalga Hızı'!G18</f>
        <v>0</v>
      </c>
      <c r="F11" s="1723" t="str">
        <f>'S dalga Hızı'!H18</f>
        <v/>
      </c>
      <c r="G11" s="1723"/>
      <c r="H11" s="1724" t="str">
        <f>'S dalga Hızı'!I18</f>
        <v/>
      </c>
      <c r="I11" s="1724"/>
      <c r="J11" s="1727"/>
      <c r="K11" s="1728"/>
      <c r="M11" s="349" t="s">
        <v>596</v>
      </c>
      <c r="N11" s="348">
        <f>'S dalga Hızı'!B34</f>
        <v>0</v>
      </c>
      <c r="P11" s="349" t="s">
        <v>596</v>
      </c>
      <c r="Q11" s="350">
        <f>DES!K18</f>
        <v>0</v>
      </c>
      <c r="S11" s="349" t="s">
        <v>596</v>
      </c>
      <c r="T11" s="363">
        <f>DES!U35</f>
        <v>49.21</v>
      </c>
    </row>
    <row r="12" spans="2:20" ht="15.75" thickBot="1">
      <c r="B12" s="370"/>
      <c r="C12" s="370"/>
      <c r="D12" s="370"/>
      <c r="E12" s="370"/>
      <c r="F12" s="370"/>
      <c r="G12" s="370"/>
      <c r="H12" s="370"/>
      <c r="I12" s="370"/>
      <c r="J12" s="370"/>
      <c r="K12" s="370"/>
    </row>
    <row r="13" spans="2:20" ht="15.75" thickBot="1">
      <c r="B13" s="1720" t="s">
        <v>578</v>
      </c>
      <c r="C13" s="1721"/>
      <c r="D13" s="1721"/>
      <c r="E13" s="1721"/>
      <c r="F13" s="1721"/>
      <c r="G13" s="1721"/>
      <c r="H13" s="1721"/>
      <c r="I13" s="1721"/>
      <c r="J13" s="1721"/>
      <c r="K13" s="1722"/>
    </row>
    <row r="14" spans="2:20" ht="15.75" thickBot="1">
      <c r="B14" s="1438" t="s">
        <v>583</v>
      </c>
      <c r="C14" s="1440"/>
      <c r="D14" s="731">
        <f>Elastisite!D17</f>
        <v>0</v>
      </c>
      <c r="E14" s="732">
        <f>Elastisite!E17</f>
        <v>0</v>
      </c>
      <c r="F14" s="1575" t="str">
        <f>Elastisite!F17</f>
        <v/>
      </c>
      <c r="G14" s="1576"/>
      <c r="H14" s="1575" t="str">
        <f>Elastisite!G17</f>
        <v/>
      </c>
      <c r="I14" s="1576"/>
      <c r="J14" s="1725" t="s">
        <v>575</v>
      </c>
      <c r="K14" s="1726"/>
      <c r="M14" s="963" t="s">
        <v>597</v>
      </c>
      <c r="N14" s="964"/>
      <c r="P14" s="1716" t="s">
        <v>598</v>
      </c>
      <c r="Q14" s="964"/>
      <c r="S14" s="963" t="s">
        <v>599</v>
      </c>
      <c r="T14" s="964"/>
    </row>
    <row r="15" spans="2:20" ht="15.75" thickBot="1">
      <c r="B15" s="1438" t="s">
        <v>584</v>
      </c>
      <c r="C15" s="1440"/>
      <c r="D15" s="733">
        <f>Elastisite!D18</f>
        <v>0</v>
      </c>
      <c r="E15" s="734">
        <f>Elastisite!E18</f>
        <v>0</v>
      </c>
      <c r="F15" s="1732" t="str">
        <f>Elastisite!F18</f>
        <v/>
      </c>
      <c r="G15" s="1733"/>
      <c r="H15" s="1730" t="str">
        <f>Elastisite!G18</f>
        <v/>
      </c>
      <c r="I15" s="1731"/>
      <c r="J15" s="1727"/>
      <c r="K15" s="1728"/>
      <c r="M15" s="335" t="s">
        <v>595</v>
      </c>
      <c r="N15" s="350">
        <f>'Zemin Büyütmesi ve ZHTP'!S11</f>
        <v>0</v>
      </c>
      <c r="P15" s="335" t="s">
        <v>595</v>
      </c>
      <c r="Q15" s="350">
        <f>'Zemin Büyütmesi ve ZHTP'!AD11</f>
        <v>0</v>
      </c>
      <c r="S15" s="335" t="s">
        <v>595</v>
      </c>
      <c r="T15" s="350">
        <f>'Zemin Büyütmesi ve ZHTP'!T11</f>
        <v>0</v>
      </c>
    </row>
    <row r="16" spans="2:20" ht="15.75" thickBot="1">
      <c r="B16" s="370"/>
      <c r="C16" s="370"/>
      <c r="D16" s="370"/>
      <c r="E16" s="370"/>
      <c r="F16" s="370"/>
      <c r="G16" s="370"/>
      <c r="H16" s="370"/>
      <c r="I16" s="370"/>
      <c r="J16" s="370"/>
      <c r="K16" s="370"/>
      <c r="M16" s="349" t="s">
        <v>596</v>
      </c>
      <c r="N16" s="350">
        <f>'Zemin Büyütmesi ve ZHTP'!S12</f>
        <v>0</v>
      </c>
      <c r="P16" s="349" t="s">
        <v>596</v>
      </c>
      <c r="Q16" s="350">
        <f>'Zemin Büyütmesi ve ZHTP'!AD12</f>
        <v>0</v>
      </c>
      <c r="S16" s="349" t="s">
        <v>596</v>
      </c>
      <c r="T16" s="350">
        <f>'Zemin Büyütmesi ve ZHTP'!T12</f>
        <v>0</v>
      </c>
    </row>
    <row r="17" spans="2:20" ht="15.75" thickBot="1">
      <c r="B17" s="1720" t="s">
        <v>579</v>
      </c>
      <c r="C17" s="1721"/>
      <c r="D17" s="1721"/>
      <c r="E17" s="1721"/>
      <c r="F17" s="1721"/>
      <c r="G17" s="1721"/>
      <c r="H17" s="1721"/>
      <c r="I17" s="1721"/>
      <c r="J17" s="1721"/>
      <c r="K17" s="1722"/>
    </row>
    <row r="18" spans="2:20" ht="15.75" thickBot="1">
      <c r="B18" s="1438" t="s">
        <v>585</v>
      </c>
      <c r="C18" s="1440"/>
      <c r="D18" s="735">
        <f>'Kayma modülü'!D17</f>
        <v>0</v>
      </c>
      <c r="E18" s="735">
        <f>'Kayma modülü'!E17</f>
        <v>0</v>
      </c>
      <c r="F18" s="1729" t="str">
        <f>'Kayma modülü'!F17</f>
        <v xml:space="preserve"> </v>
      </c>
      <c r="G18" s="1729"/>
      <c r="H18" s="1729" t="str">
        <f>'Kayma modülü'!G17</f>
        <v xml:space="preserve"> </v>
      </c>
      <c r="I18" s="1729"/>
      <c r="J18" s="1725" t="s">
        <v>575</v>
      </c>
      <c r="K18" s="1726"/>
      <c r="M18" s="963" t="s">
        <v>602</v>
      </c>
      <c r="N18" s="964"/>
      <c r="P18" s="963" t="s">
        <v>603</v>
      </c>
      <c r="Q18" s="964"/>
      <c r="S18" s="989"/>
      <c r="T18" s="989"/>
    </row>
    <row r="19" spans="2:20" ht="15.75" thickBot="1">
      <c r="B19" s="1438" t="s">
        <v>586</v>
      </c>
      <c r="C19" s="1440"/>
      <c r="D19" s="736">
        <f>'Kayma modülü'!D18</f>
        <v>0</v>
      </c>
      <c r="E19" s="736">
        <f>'Kayma modülü'!E18</f>
        <v>0</v>
      </c>
      <c r="F19" s="1723" t="str">
        <f>'Kayma modülü'!F18</f>
        <v xml:space="preserve"> </v>
      </c>
      <c r="G19" s="1723"/>
      <c r="H19" s="1724" t="str">
        <f>'Kayma modülü'!G18</f>
        <v xml:space="preserve"> </v>
      </c>
      <c r="I19" s="1724"/>
      <c r="J19" s="1727"/>
      <c r="K19" s="1728"/>
      <c r="M19" s="335" t="s">
        <v>595</v>
      </c>
      <c r="N19" s="350">
        <f>AB100</f>
        <v>0</v>
      </c>
      <c r="P19" s="335" t="s">
        <v>595</v>
      </c>
      <c r="Q19" s="350">
        <f>AB107</f>
        <v>0</v>
      </c>
      <c r="T19" s="7"/>
    </row>
    <row r="20" spans="2:20" ht="15.75" thickBot="1">
      <c r="B20" s="370"/>
      <c r="C20" s="370"/>
      <c r="D20" s="370"/>
      <c r="E20" s="370"/>
      <c r="F20" s="370"/>
      <c r="G20" s="370"/>
      <c r="H20" s="370"/>
      <c r="I20" s="370"/>
      <c r="J20" s="370"/>
      <c r="K20" s="370"/>
      <c r="M20" s="349" t="s">
        <v>596</v>
      </c>
      <c r="N20" s="350">
        <f>AB101</f>
        <v>0</v>
      </c>
      <c r="P20" s="349" t="s">
        <v>596</v>
      </c>
      <c r="Q20" s="350">
        <f>AB108</f>
        <v>0</v>
      </c>
      <c r="T20" s="7"/>
    </row>
    <row r="21" spans="2:20" ht="15.75" thickBot="1">
      <c r="B21" s="1720" t="s">
        <v>580</v>
      </c>
      <c r="C21" s="1721"/>
      <c r="D21" s="1721"/>
      <c r="E21" s="1721"/>
      <c r="F21" s="1721"/>
      <c r="G21" s="1721"/>
      <c r="H21" s="1721"/>
      <c r="I21" s="1721"/>
      <c r="J21" s="1721"/>
      <c r="K21" s="1722"/>
    </row>
    <row r="22" spans="2:20" ht="15.75" thickBot="1">
      <c r="B22" s="1438" t="s">
        <v>587</v>
      </c>
      <c r="C22" s="1440"/>
      <c r="D22" s="731">
        <f>Bulk!D17</f>
        <v>0</v>
      </c>
      <c r="E22" s="732">
        <f>Bulk!E17</f>
        <v>0</v>
      </c>
      <c r="F22" s="1575" t="str">
        <f>Bulk!F17</f>
        <v/>
      </c>
      <c r="G22" s="1576"/>
      <c r="H22" s="1575" t="str">
        <f>Bulk!G17</f>
        <v/>
      </c>
      <c r="I22" s="1576"/>
      <c r="J22" s="1725" t="s">
        <v>575</v>
      </c>
      <c r="K22" s="1726"/>
    </row>
    <row r="23" spans="2:20" ht="15.75" thickBot="1">
      <c r="B23" s="1438" t="s">
        <v>588</v>
      </c>
      <c r="C23" s="1440"/>
      <c r="D23" s="733">
        <f>Bulk!D18</f>
        <v>0</v>
      </c>
      <c r="E23" s="734">
        <f>Bulk!E18</f>
        <v>0</v>
      </c>
      <c r="F23" s="1732" t="str">
        <f>Bulk!F18</f>
        <v/>
      </c>
      <c r="G23" s="1733"/>
      <c r="H23" s="1730" t="str">
        <f>Bulk!G18</f>
        <v/>
      </c>
      <c r="I23" s="1731"/>
      <c r="J23" s="1727"/>
      <c r="K23" s="1728"/>
    </row>
    <row r="24" spans="2:20" ht="15.75" thickBot="1">
      <c r="B24" s="370"/>
      <c r="C24" s="370"/>
      <c r="D24" s="370"/>
      <c r="E24" s="370"/>
      <c r="F24" s="370"/>
      <c r="G24" s="370"/>
      <c r="H24" s="370"/>
      <c r="I24" s="370"/>
      <c r="J24" s="370"/>
      <c r="K24" s="370"/>
      <c r="M24" s="354" t="s">
        <v>46</v>
      </c>
      <c r="N24" s="347" t="s">
        <v>604</v>
      </c>
      <c r="O24" s="1444" t="e">
        <f>'Sıvılaşma '!E12</f>
        <v>#DIV/0!</v>
      </c>
      <c r="P24" s="1445"/>
      <c r="Q24" s="1734" t="e">
        <f>IF('Sıvılaşma '!E12&gt;1,"Sıvılaşma Yok", "Sıvılaşabilir")</f>
        <v>#DIV/0!</v>
      </c>
      <c r="R24" s="1340"/>
    </row>
    <row r="25" spans="2:20" ht="15.75" thickBot="1">
      <c r="B25" s="1720" t="s">
        <v>12</v>
      </c>
      <c r="C25" s="1721"/>
      <c r="D25" s="1721"/>
      <c r="E25" s="1721"/>
      <c r="F25" s="1721"/>
      <c r="G25" s="1721"/>
      <c r="H25" s="1721"/>
      <c r="I25" s="1721"/>
      <c r="J25" s="1721"/>
      <c r="K25" s="1722"/>
      <c r="M25" s="354" t="s">
        <v>47</v>
      </c>
      <c r="N25" s="347" t="s">
        <v>604</v>
      </c>
      <c r="O25" s="1444" t="e">
        <f>'Sıvılaşma '!E22</f>
        <v>#DIV/0!</v>
      </c>
      <c r="P25" s="1445"/>
      <c r="Q25" s="1734" t="e">
        <f>IF('Sıvılaşma '!E22&gt;1,"Sıvılaşma Yok", "Sıvılaşabilir")</f>
        <v>#DIV/0!</v>
      </c>
      <c r="R25" s="1340"/>
    </row>
    <row r="26" spans="2:20" ht="15.75" thickBot="1">
      <c r="B26" s="1438" t="s">
        <v>589</v>
      </c>
      <c r="C26" s="1440"/>
      <c r="D26" s="737">
        <f>poisson!E17</f>
        <v>0</v>
      </c>
      <c r="E26" s="737">
        <f>poisson!F17</f>
        <v>0</v>
      </c>
      <c r="F26" s="1729" t="str">
        <f>poisson!G17</f>
        <v/>
      </c>
      <c r="G26" s="1729"/>
      <c r="H26" s="1729" t="str">
        <f>poisson!H17</f>
        <v/>
      </c>
      <c r="I26" s="1729"/>
      <c r="J26" s="1725" t="s">
        <v>575</v>
      </c>
      <c r="K26" s="1726"/>
      <c r="M26" s="354" t="s">
        <v>48</v>
      </c>
      <c r="N26" s="347" t="s">
        <v>604</v>
      </c>
      <c r="O26" s="1444" t="e">
        <f>'Sıvılaşma '!E32</f>
        <v>#DIV/0!</v>
      </c>
      <c r="P26" s="1445"/>
      <c r="Q26" s="1734" t="e">
        <f>IF('Sıvılaşma '!E32&gt;1,"Sıvılaşma Yok", "Sıvılaşabilir")</f>
        <v>#DIV/0!</v>
      </c>
      <c r="R26" s="1340"/>
    </row>
    <row r="27" spans="2:20" ht="15.75" thickBot="1">
      <c r="B27" s="1438" t="s">
        <v>590</v>
      </c>
      <c r="C27" s="1440"/>
      <c r="D27" s="738">
        <f>poisson!E18</f>
        <v>0</v>
      </c>
      <c r="E27" s="738">
        <f>poisson!F18</f>
        <v>0</v>
      </c>
      <c r="F27" s="1723">
        <f>poisson!G18</f>
        <v>0</v>
      </c>
      <c r="G27" s="1723"/>
      <c r="H27" s="1724" t="str">
        <f>poisson!H18</f>
        <v/>
      </c>
      <c r="I27" s="1724"/>
      <c r="J27" s="1727"/>
      <c r="K27" s="1728"/>
      <c r="M27" s="354" t="s">
        <v>49</v>
      </c>
      <c r="N27" s="347" t="s">
        <v>604</v>
      </c>
      <c r="O27" s="1444" t="e">
        <f>'Sıvılaşma '!M12</f>
        <v>#DIV/0!</v>
      </c>
      <c r="P27" s="1445"/>
      <c r="Q27" s="1734" t="e">
        <f>IF('Sıvılaşma '!M12&gt;1,"Sıvılaşma Yok", "Sıvılaşabilir")</f>
        <v>#DIV/0!</v>
      </c>
      <c r="R27" s="1340"/>
    </row>
    <row r="28" spans="2:20" ht="15.75" thickBot="1">
      <c r="B28" s="370"/>
      <c r="C28" s="370"/>
      <c r="D28" s="370"/>
      <c r="E28" s="370"/>
      <c r="F28" s="370"/>
      <c r="G28" s="370"/>
      <c r="H28" s="370"/>
      <c r="I28" s="370"/>
      <c r="J28" s="370"/>
      <c r="K28" s="370"/>
      <c r="M28" s="354" t="s">
        <v>50</v>
      </c>
      <c r="N28" s="347" t="s">
        <v>604</v>
      </c>
      <c r="O28" s="1444" t="e">
        <f>'Sıvılaşma '!M22</f>
        <v>#DIV/0!</v>
      </c>
      <c r="P28" s="1445"/>
      <c r="Q28" s="1734" t="e">
        <f>IF('Sıvılaşma '!M22&gt;1,"Sıvılaşma Yok", "Sıvılaşabilir")</f>
        <v>#DIV/0!</v>
      </c>
      <c r="R28" s="1340"/>
    </row>
    <row r="29" spans="2:20" ht="15.75" thickBot="1">
      <c r="B29" s="1720" t="s">
        <v>581</v>
      </c>
      <c r="C29" s="1721"/>
      <c r="D29" s="1721"/>
      <c r="E29" s="1721"/>
      <c r="F29" s="1721"/>
      <c r="G29" s="1721"/>
      <c r="H29" s="1721"/>
      <c r="I29" s="1721"/>
      <c r="J29" s="1721"/>
      <c r="K29" s="1722"/>
      <c r="M29" s="354" t="s">
        <v>51</v>
      </c>
      <c r="N29" s="347" t="s">
        <v>604</v>
      </c>
      <c r="O29" s="1444" t="e">
        <f>'Sıvılaşma '!M32</f>
        <v>#DIV/0!</v>
      </c>
      <c r="P29" s="1445"/>
      <c r="Q29" s="1734" t="e">
        <f>IF('Sıvılaşma '!M32&gt;1,"Sıvılaşma Yok", "Sıvılaşabilir")</f>
        <v>#DIV/0!</v>
      </c>
      <c r="R29" s="1340"/>
    </row>
    <row r="30" spans="2:20" ht="15.75" thickBot="1">
      <c r="B30" s="1438" t="s">
        <v>591</v>
      </c>
      <c r="C30" s="1440"/>
      <c r="D30" s="706">
        <f>yoğunluk!E17</f>
        <v>0</v>
      </c>
      <c r="E30" s="707">
        <f>yoğunluk!F17</f>
        <v>0</v>
      </c>
      <c r="F30" s="1575" t="str">
        <f>yoğunluk!G17</f>
        <v/>
      </c>
      <c r="G30" s="1576"/>
      <c r="H30" s="1575" t="str">
        <f>yoğunluk!H17</f>
        <v/>
      </c>
      <c r="I30" s="1576"/>
      <c r="J30" s="1725" t="s">
        <v>575</v>
      </c>
      <c r="K30" s="1726"/>
    </row>
    <row r="31" spans="2:20" ht="15.75" thickBot="1">
      <c r="B31" s="1438" t="s">
        <v>592</v>
      </c>
      <c r="C31" s="1440"/>
      <c r="D31" s="739">
        <f>yoğunluk!E18</f>
        <v>0</v>
      </c>
      <c r="E31" s="740">
        <f>yoğunluk!F18</f>
        <v>0</v>
      </c>
      <c r="F31" s="1732" t="str">
        <f>yoğunluk!G18</f>
        <v/>
      </c>
      <c r="G31" s="1733"/>
      <c r="H31" s="1730" t="str">
        <f>yoğunluk!H18</f>
        <v/>
      </c>
      <c r="I31" s="1731"/>
      <c r="J31" s="1727"/>
      <c r="K31" s="1728"/>
    </row>
    <row r="32" spans="2:20" ht="15.75" thickBot="1">
      <c r="B32" s="370"/>
      <c r="C32" s="370"/>
      <c r="D32" s="370"/>
      <c r="E32" s="370"/>
      <c r="F32" s="370"/>
      <c r="G32" s="370"/>
      <c r="H32" s="370"/>
      <c r="I32" s="370"/>
      <c r="J32" s="370"/>
      <c r="K32" s="370"/>
    </row>
    <row r="33" spans="2:11" ht="15.75" thickBot="1">
      <c r="B33" s="1720" t="s">
        <v>582</v>
      </c>
      <c r="C33" s="1721"/>
      <c r="D33" s="1721"/>
      <c r="E33" s="1721"/>
      <c r="F33" s="1721"/>
      <c r="G33" s="1721"/>
      <c r="H33" s="1721"/>
      <c r="I33" s="1721"/>
      <c r="J33" s="1721"/>
      <c r="K33" s="1722"/>
    </row>
    <row r="34" spans="2:11" ht="15.75" thickBot="1">
      <c r="B34" s="1438" t="s">
        <v>593</v>
      </c>
      <c r="C34" s="1440"/>
      <c r="D34" s="737">
        <f>'Hız Oranı'!E17</f>
        <v>0</v>
      </c>
      <c r="E34" s="737">
        <f>'Hız Oranı'!F17</f>
        <v>0</v>
      </c>
      <c r="F34" s="1729" t="str">
        <f>'Hız Oranı'!G17</f>
        <v/>
      </c>
      <c r="G34" s="1729"/>
      <c r="H34" s="1729" t="str">
        <f>'Hız Oranı'!H17</f>
        <v/>
      </c>
      <c r="I34" s="1729"/>
      <c r="J34" s="1725" t="s">
        <v>575</v>
      </c>
      <c r="K34" s="1726"/>
    </row>
    <row r="35" spans="2:11" ht="15.75" thickBot="1">
      <c r="B35" s="1438" t="s">
        <v>594</v>
      </c>
      <c r="C35" s="1440"/>
      <c r="D35" s="738">
        <f>'Hız Oranı'!E18</f>
        <v>0</v>
      </c>
      <c r="E35" s="738">
        <f>'Hız Oranı'!F18</f>
        <v>0</v>
      </c>
      <c r="F35" s="1723" t="str">
        <f>'Hız Oranı'!G18</f>
        <v/>
      </c>
      <c r="G35" s="1723"/>
      <c r="H35" s="1724" t="str">
        <f>'Hız Oranı'!H18</f>
        <v/>
      </c>
      <c r="I35" s="1724"/>
      <c r="J35" s="1727"/>
      <c r="K35" s="1728"/>
    </row>
    <row r="99" spans="26:28" ht="15.75" thickBot="1"/>
    <row r="100" spans="26:28">
      <c r="Z100" s="351" t="str">
        <f>IFERROR('Zemin Büyütmesi ve ZHTP'!U4,"")</f>
        <v/>
      </c>
      <c r="AB100">
        <f>MIN(Z100:Z105)</f>
        <v>0</v>
      </c>
    </row>
    <row r="101" spans="26:28">
      <c r="Z101" s="352" t="str">
        <f>IFERROR('Zemin Büyütmesi ve ZHTP'!U5,"")</f>
        <v/>
      </c>
      <c r="AB101">
        <f>MAX(Z100:Z105)</f>
        <v>0</v>
      </c>
    </row>
    <row r="102" spans="26:28">
      <c r="Z102" s="352" t="str">
        <f>IFERROR('Zemin Büyütmesi ve ZHTP'!U6,"")</f>
        <v/>
      </c>
    </row>
    <row r="103" spans="26:28">
      <c r="Z103" s="352" t="str">
        <f>IFERROR('Zemin Büyütmesi ve ZHTP'!U7,"")</f>
        <v/>
      </c>
    </row>
    <row r="104" spans="26:28">
      <c r="Z104" s="352" t="str">
        <f>IFERROR('Zemin Büyütmesi ve ZHTP'!U8,"")</f>
        <v/>
      </c>
    </row>
    <row r="105" spans="26:28" ht="15.75" thickBot="1">
      <c r="Z105" s="353" t="str">
        <f>IFERROR('Zemin Büyütmesi ve ZHTP'!U9,"")</f>
        <v/>
      </c>
    </row>
    <row r="106" spans="26:28" ht="15.75" thickBot="1"/>
    <row r="107" spans="26:28" ht="15.75" thickBot="1">
      <c r="Z107" s="351" t="str">
        <f>IFERROR('Zemin Büyütmesi ve ZHTP'!V4,"")</f>
        <v/>
      </c>
      <c r="AB107">
        <f>MIN(SONUÇ!Z107:Z112)</f>
        <v>0</v>
      </c>
    </row>
    <row r="108" spans="26:28" ht="15.75" thickBot="1">
      <c r="Z108" s="351" t="str">
        <f>IFERROR('Zemin Büyütmesi ve ZHTP'!V5,"")</f>
        <v/>
      </c>
      <c r="AB108">
        <f>MAX(Z107:Z112)</f>
        <v>0</v>
      </c>
    </row>
    <row r="109" spans="26:28" ht="15.75" thickBot="1">
      <c r="Z109" s="351" t="str">
        <f>IFERROR('Zemin Büyütmesi ve ZHTP'!V6,"")</f>
        <v/>
      </c>
    </row>
    <row r="110" spans="26:28" ht="15.75" thickBot="1">
      <c r="Z110" s="351" t="str">
        <f>IFERROR('Zemin Büyütmesi ve ZHTP'!V7,"")</f>
        <v/>
      </c>
    </row>
    <row r="111" spans="26:28" ht="15.75" thickBot="1">
      <c r="Z111" s="351" t="str">
        <f>IFERROR('Zemin Büyütmesi ve ZHTP'!V8,"")</f>
        <v/>
      </c>
    </row>
    <row r="112" spans="26:28">
      <c r="Z112" s="351" t="str">
        <f>IFERROR('Zemin Büyütmesi ve ZHTP'!V9,"")</f>
        <v/>
      </c>
    </row>
  </sheetData>
  <sheetProtection algorithmName="SHA-512" hashValue="6jw+Z3rZViL5JrD9qtZjt/xEnV93ABRrpaQ2DXm4KswP69WVnNn2SdDuNGAhGETmEruN5I6B9p02G+ssqPOKAQ==" saltValue="sxizt3jQSGyaka3IviIlNQ==" spinCount="100000" sheet="1" objects="1" scenarios="1"/>
  <mergeCells count="86">
    <mergeCell ref="O29:P29"/>
    <mergeCell ref="Q29:R29"/>
    <mergeCell ref="S9:T9"/>
    <mergeCell ref="O26:P26"/>
    <mergeCell ref="Q26:R26"/>
    <mergeCell ref="O27:P27"/>
    <mergeCell ref="Q27:R27"/>
    <mergeCell ref="O28:P28"/>
    <mergeCell ref="Q28:R28"/>
    <mergeCell ref="P18:Q18"/>
    <mergeCell ref="O24:P24"/>
    <mergeCell ref="Q24:R24"/>
    <mergeCell ref="O25:P25"/>
    <mergeCell ref="Q25:R25"/>
    <mergeCell ref="P9:Q9"/>
    <mergeCell ref="S18:T18"/>
    <mergeCell ref="B10:C10"/>
    <mergeCell ref="B11:C11"/>
    <mergeCell ref="B6:C6"/>
    <mergeCell ref="B7:C7"/>
    <mergeCell ref="M18:N18"/>
    <mergeCell ref="H6:I6"/>
    <mergeCell ref="F7:G7"/>
    <mergeCell ref="H7:I7"/>
    <mergeCell ref="F10:G10"/>
    <mergeCell ref="H10:I10"/>
    <mergeCell ref="H15:I15"/>
    <mergeCell ref="B17:K17"/>
    <mergeCell ref="B18:C18"/>
    <mergeCell ref="F18:G18"/>
    <mergeCell ref="H18:I18"/>
    <mergeCell ref="J18:K19"/>
    <mergeCell ref="B19:C19"/>
    <mergeCell ref="F19:G19"/>
    <mergeCell ref="H19:I19"/>
    <mergeCell ref="J14:K15"/>
    <mergeCell ref="B15:C15"/>
    <mergeCell ref="F15:G15"/>
    <mergeCell ref="B21:K21"/>
    <mergeCell ref="B22:C22"/>
    <mergeCell ref="F22:G22"/>
    <mergeCell ref="H22:I22"/>
    <mergeCell ref="J22:K23"/>
    <mergeCell ref="B23:C23"/>
    <mergeCell ref="F23:G23"/>
    <mergeCell ref="H23:I23"/>
    <mergeCell ref="H31:I31"/>
    <mergeCell ref="B25:K25"/>
    <mergeCell ref="B26:C26"/>
    <mergeCell ref="F26:G26"/>
    <mergeCell ref="H26:I26"/>
    <mergeCell ref="J26:K27"/>
    <mergeCell ref="B27:C27"/>
    <mergeCell ref="F27:G27"/>
    <mergeCell ref="H27:I27"/>
    <mergeCell ref="B29:K29"/>
    <mergeCell ref="B30:C30"/>
    <mergeCell ref="F30:G30"/>
    <mergeCell ref="H30:I30"/>
    <mergeCell ref="J30:K31"/>
    <mergeCell ref="B31:C31"/>
    <mergeCell ref="F31:G31"/>
    <mergeCell ref="B33:K33"/>
    <mergeCell ref="B34:C34"/>
    <mergeCell ref="F34:G34"/>
    <mergeCell ref="H34:I34"/>
    <mergeCell ref="J34:K35"/>
    <mergeCell ref="B35:C35"/>
    <mergeCell ref="F35:G35"/>
    <mergeCell ref="H35:I35"/>
    <mergeCell ref="B2:K2"/>
    <mergeCell ref="M9:N9"/>
    <mergeCell ref="M14:N14"/>
    <mergeCell ref="P14:Q14"/>
    <mergeCell ref="S14:T14"/>
    <mergeCell ref="B5:K5"/>
    <mergeCell ref="B9:K9"/>
    <mergeCell ref="B13:K13"/>
    <mergeCell ref="B14:C14"/>
    <mergeCell ref="F14:G14"/>
    <mergeCell ref="H14:I14"/>
    <mergeCell ref="F11:G11"/>
    <mergeCell ref="H11:I11"/>
    <mergeCell ref="J6:K7"/>
    <mergeCell ref="J10:K11"/>
    <mergeCell ref="F6:G6"/>
  </mergeCells>
  <phoneticPr fontId="39" type="noConversion"/>
  <conditionalFormatting sqref="D10:E11">
    <cfRule type="containsErrors" dxfId="24" priority="55">
      <formula>ISERROR(D10)</formula>
    </cfRule>
  </conditionalFormatting>
  <conditionalFormatting sqref="D18:E19">
    <cfRule type="containsErrors" dxfId="23" priority="54">
      <formula>ISERROR(D18)</formula>
    </cfRule>
  </conditionalFormatting>
  <conditionalFormatting sqref="D26:E27">
    <cfRule type="cellIs" dxfId="22" priority="4" operator="equal">
      <formula>0</formula>
    </cfRule>
    <cfRule type="containsErrors" dxfId="21" priority="53">
      <formula>ISERROR(D26)</formula>
    </cfRule>
  </conditionalFormatting>
  <conditionalFormatting sqref="D30:E31">
    <cfRule type="cellIs" dxfId="20" priority="2" operator="equal">
      <formula>0</formula>
    </cfRule>
  </conditionalFormatting>
  <conditionalFormatting sqref="D34:E35">
    <cfRule type="cellIs" dxfId="19" priority="3" operator="equal">
      <formula>0</formula>
    </cfRule>
    <cfRule type="containsErrors" dxfId="18" priority="52">
      <formula>ISERROR(D34)</formula>
    </cfRule>
  </conditionalFormatting>
  <conditionalFormatting sqref="F27:G27">
    <cfRule type="cellIs" dxfId="17" priority="12" operator="equal">
      <formula>0</formula>
    </cfRule>
  </conditionalFormatting>
  <conditionalFormatting sqref="N15:N16">
    <cfRule type="cellIs" dxfId="16" priority="11" operator="equal">
      <formula>0</formula>
    </cfRule>
  </conditionalFormatting>
  <conditionalFormatting sqref="N19:N20">
    <cfRule type="cellIs" dxfId="15" priority="8" operator="equal">
      <formula>0</formula>
    </cfRule>
  </conditionalFormatting>
  <conditionalFormatting sqref="O24:P24">
    <cfRule type="cellIs" dxfId="14" priority="46" operator="equal">
      <formula>0</formula>
    </cfRule>
    <cfRule type="cellIs" dxfId="13" priority="47" operator="lessThan">
      <formula>1</formula>
    </cfRule>
  </conditionalFormatting>
  <conditionalFormatting sqref="O24:P29">
    <cfRule type="containsErrors" dxfId="12" priority="14">
      <formula>ISERROR(O24)</formula>
    </cfRule>
    <cfRule type="cellIs" dxfId="11" priority="16" operator="greaterThan">
      <formula>1</formula>
    </cfRule>
  </conditionalFormatting>
  <conditionalFormatting sqref="O25:P29">
    <cfRule type="cellIs" dxfId="10" priority="15" operator="lessThan">
      <formula>1</formula>
    </cfRule>
  </conditionalFormatting>
  <conditionalFormatting sqref="O29:P29">
    <cfRule type="cellIs" dxfId="9" priority="17" operator="greaterThan">
      <formula>1</formula>
    </cfRule>
  </conditionalFormatting>
  <conditionalFormatting sqref="Q10:Q11">
    <cfRule type="cellIs" dxfId="8" priority="6" operator="equal">
      <formula>0</formula>
    </cfRule>
  </conditionalFormatting>
  <conditionalFormatting sqref="Q15:Q16">
    <cfRule type="cellIs" dxfId="7" priority="10" operator="equal">
      <formula>0</formula>
    </cfRule>
  </conditionalFormatting>
  <conditionalFormatting sqref="Q19:Q20">
    <cfRule type="cellIs" dxfId="6" priority="7" operator="equal">
      <formula>0</formula>
    </cfRule>
  </conditionalFormatting>
  <conditionalFormatting sqref="Q24:R29">
    <cfRule type="containsErrors" dxfId="5" priority="13">
      <formula>ISERROR(Q24)</formula>
    </cfRule>
    <cfRule type="containsText" dxfId="4" priority="18" operator="containsText" text="Sıvılaşma Yok">
      <formula>NOT(ISERROR(SEARCH("Sıvılaşma Yok",Q24)))</formula>
    </cfRule>
    <cfRule type="containsText" dxfId="3" priority="19" operator="containsText" text="sıvılaşabilir">
      <formula>NOT(ISERROR(SEARCH("sıvılaşabilir",Q24)))</formula>
    </cfRule>
  </conditionalFormatting>
  <conditionalFormatting sqref="T10:T11">
    <cfRule type="cellIs" dxfId="2" priority="5" operator="equal">
      <formula>49.21</formula>
    </cfRule>
  </conditionalFormatting>
  <conditionalFormatting sqref="T15:T16">
    <cfRule type="cellIs" dxfId="1" priority="9" operator="equal">
      <formula>0</formula>
    </cfRule>
  </conditionalFormatting>
  <conditionalFormatting sqref="T19:T20">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1</vt:i4>
      </vt:variant>
    </vt:vector>
  </HeadingPairs>
  <TitlesOfParts>
    <vt:vector size="21" baseType="lpstr">
      <vt:lpstr>Sismik</vt:lpstr>
      <vt:lpstr>DES</vt:lpstr>
      <vt:lpstr>Parametreler</vt:lpstr>
      <vt:lpstr>P dalga Hızı</vt:lpstr>
      <vt:lpstr>S dalga Hızı</vt:lpstr>
      <vt:lpstr>MASW- VS30 Değerlendirme</vt:lpstr>
      <vt:lpstr>Elastisite</vt:lpstr>
      <vt:lpstr>Kayma modülü</vt:lpstr>
      <vt:lpstr>Bulk</vt:lpstr>
      <vt:lpstr>poisson</vt:lpstr>
      <vt:lpstr>yoğunluk</vt:lpstr>
      <vt:lpstr>Hız Oranı</vt:lpstr>
      <vt:lpstr>Zemin Büyütmesi ve ZHTP</vt:lpstr>
      <vt:lpstr>Sıvılaşma </vt:lpstr>
      <vt:lpstr>Zemin Taşıma</vt:lpstr>
      <vt:lpstr>Düşey yatak katsayısı</vt:lpstr>
      <vt:lpstr>Şev Analizi</vt:lpstr>
      <vt:lpstr>Zemin Sınıfı</vt:lpstr>
      <vt:lpstr> DEPREM RİSK </vt:lpstr>
      <vt:lpstr>SONUÇ</vt:lpstr>
      <vt:lpstr>Sismik!Yazdırma_Alanı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Tan GÜRER</cp:lastModifiedBy>
  <cp:lastPrinted>2016-12-07T11:02:01Z</cp:lastPrinted>
  <dcterms:created xsi:type="dcterms:W3CDTF">2013-11-03T18:13:57Z</dcterms:created>
  <dcterms:modified xsi:type="dcterms:W3CDTF">2024-09-09T11:46:20Z</dcterms:modified>
</cp:coreProperties>
</file>